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toshiomi_kobayashi_m3d_cao_go_jp/Documents/デスクトップ/ウェブサイト見直し関係/ハメ込み・掲載/（元データ）/"/>
    </mc:Choice>
  </mc:AlternateContent>
  <xr:revisionPtr revIDLastSave="0" documentId="8_{43D211B0-6077-467A-92EA-CB76FEA3F902}" xr6:coauthVersionLast="47" xr6:coauthVersionMax="47" xr10:uidLastSave="{00000000-0000-0000-0000-000000000000}"/>
  <bookViews>
    <workbookView xWindow="-110" yWindow="-110" windowWidth="19420" windowHeight="10300" tabRatio="796" xr2:uid="{FD75E681-D2A8-48FC-80C8-AD551B43CB8E}"/>
  </bookViews>
  <sheets>
    <sheet name="計算表" sheetId="1" r:id="rId1"/>
    <sheet name="Sheet1" sheetId="3" state="hidden" r:id="rId2"/>
    <sheet name="内閣府作業用" sheetId="2" state="hidden" r:id="rId3"/>
    <sheet name="内閣府作業用 (地域再生総括表用)" sheetId="5" state="hidden" r:id="rId4"/>
  </sheets>
  <definedNames>
    <definedName name="_xlnm.Print_Area" localSheetId="1">Sheet1!$A$1</definedName>
    <definedName name="_xlnm.Print_Area" localSheetId="0">計算表!$A$1:$Y$99</definedName>
    <definedName name="_xlnm.Print_Titles" localSheetId="0">計算表!$8:$9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2" l="1"/>
  <c r="AQ2" i="5"/>
  <c r="I2" i="5"/>
  <c r="H2" i="5"/>
  <c r="G2" i="5"/>
  <c r="F2" i="5"/>
  <c r="I2" i="2" l="1"/>
  <c r="H2" i="2"/>
  <c r="G2" i="2"/>
  <c r="F2" i="2"/>
  <c r="B25" i="3" l="1"/>
  <c r="E25" i="3" s="1"/>
  <c r="B24" i="3"/>
  <c r="J2" i="3"/>
  <c r="B14" i="3"/>
  <c r="C14" i="3" s="1"/>
  <c r="B13" i="3"/>
  <c r="AO2" i="5" l="1"/>
  <c r="AS2" i="2"/>
  <c r="AG2" i="2"/>
  <c r="AL2" i="5"/>
  <c r="AJ2" i="5"/>
  <c r="Y2" i="2"/>
  <c r="AM2" i="5"/>
  <c r="AK2" i="2"/>
  <c r="AN2" i="5"/>
  <c r="AO2" i="2"/>
  <c r="AW2" i="2"/>
  <c r="AP2" i="5"/>
  <c r="M2" i="2"/>
  <c r="AG2" i="5"/>
  <c r="AH2" i="5"/>
  <c r="Q2" i="2"/>
  <c r="U2" i="2"/>
  <c r="AI2" i="5"/>
  <c r="AK2" i="5"/>
  <c r="AC2" i="2"/>
  <c r="B17" i="3"/>
  <c r="C17" i="3" s="1"/>
  <c r="B16" i="3"/>
  <c r="C16" i="3" s="1"/>
  <c r="B15" i="3"/>
  <c r="C15" i="3" s="1"/>
  <c r="D14" i="3"/>
  <c r="E14" i="3"/>
  <c r="D25" i="3"/>
  <c r="G25" i="3" s="1"/>
  <c r="C25" i="3"/>
  <c r="G14" i="3" l="1"/>
  <c r="G3" i="3" s="1"/>
  <c r="B20" i="3"/>
  <c r="B9" i="3" s="1"/>
  <c r="B28" i="3"/>
  <c r="C28" i="3" s="1"/>
  <c r="B27" i="3"/>
  <c r="C27" i="3" s="1"/>
  <c r="B26" i="3"/>
  <c r="C26" i="3" s="1"/>
  <c r="B21" i="3" l="1"/>
  <c r="B31" i="3"/>
  <c r="B10" i="1" s="1"/>
  <c r="M10" i="1"/>
  <c r="P10" i="1" s="1"/>
  <c r="X10" i="1" s="1"/>
  <c r="B22" i="3" l="1"/>
  <c r="B11" i="3" s="1"/>
  <c r="B10" i="3"/>
  <c r="M11" i="1"/>
  <c r="P11" i="1" s="1"/>
  <c r="B32" i="3" l="1"/>
  <c r="X11" i="1"/>
  <c r="M12" i="1"/>
  <c r="M13" i="1" s="1"/>
  <c r="M14" i="1" s="1"/>
  <c r="M15" i="1" s="1"/>
  <c r="M16" i="1" s="1"/>
  <c r="P16" i="1" l="1"/>
  <c r="X16" i="1" s="1"/>
  <c r="M17" i="1"/>
  <c r="B33" i="3"/>
  <c r="P12" i="1"/>
  <c r="P13" i="1"/>
  <c r="P14" i="1"/>
  <c r="P15" i="1"/>
  <c r="X14" i="1" l="1"/>
  <c r="X13" i="1"/>
  <c r="X12" i="1"/>
  <c r="X15" i="1"/>
  <c r="J53" i="1" l="1"/>
  <c r="R53" i="1" s="1"/>
  <c r="J10" i="1" l="1"/>
  <c r="J67" i="1"/>
  <c r="R70" i="1" s="1"/>
  <c r="G17" i="1"/>
  <c r="B18" i="1"/>
  <c r="D18" i="1"/>
  <c r="O17" i="1"/>
  <c r="P17" i="1" s="1"/>
  <c r="X17" i="1" s="1"/>
  <c r="Y10" i="1" s="1"/>
  <c r="J74" i="1"/>
  <c r="J25" i="1"/>
  <c r="R28" i="1" s="1"/>
  <c r="J32" i="1"/>
  <c r="R37" i="1" s="1"/>
  <c r="J18" i="1"/>
  <c r="R20" i="1" s="1"/>
  <c r="J39" i="1"/>
  <c r="J46" i="1"/>
  <c r="R46" i="1" s="1"/>
  <c r="J60" i="1"/>
  <c r="R62" i="1" s="1"/>
  <c r="R54" i="1"/>
  <c r="R58" i="1"/>
  <c r="R57" i="1"/>
  <c r="R56" i="1"/>
  <c r="R59" i="1"/>
  <c r="R55" i="1"/>
  <c r="K2" i="5" l="1"/>
  <c r="K2" i="2"/>
  <c r="L2" i="2"/>
  <c r="L2" i="5"/>
  <c r="R11" i="1"/>
  <c r="S11" i="1" s="1"/>
  <c r="R16" i="1"/>
  <c r="S16" i="1" s="1"/>
  <c r="F30" i="3"/>
  <c r="F19" i="3"/>
  <c r="F8" i="3" s="1"/>
  <c r="R14" i="1"/>
  <c r="S14" i="1" s="1"/>
  <c r="R12" i="1"/>
  <c r="S12" i="1" s="1"/>
  <c r="R15" i="1"/>
  <c r="S15" i="1" s="1"/>
  <c r="R13" i="1"/>
  <c r="S13" i="1" s="1"/>
  <c r="R10" i="1"/>
  <c r="S10" i="1" s="1"/>
  <c r="R17" i="1"/>
  <c r="S17" i="1" s="1"/>
  <c r="R64" i="1"/>
  <c r="R61" i="1"/>
  <c r="R49" i="1"/>
  <c r="R50" i="1"/>
  <c r="G24" i="1"/>
  <c r="O24" i="1"/>
  <c r="B25" i="1"/>
  <c r="D25" i="1"/>
  <c r="R24" i="1"/>
  <c r="E18" i="1"/>
  <c r="M18" i="1"/>
  <c r="R36" i="1"/>
  <c r="R42" i="1"/>
  <c r="R22" i="1"/>
  <c r="R66" i="1"/>
  <c r="R51" i="1"/>
  <c r="R52" i="1"/>
  <c r="R47" i="1"/>
  <c r="R60" i="1"/>
  <c r="R48" i="1"/>
  <c r="R63" i="1"/>
  <c r="R65" i="1"/>
  <c r="R43" i="1"/>
  <c r="R29" i="1"/>
  <c r="R26" i="1"/>
  <c r="R40" i="1"/>
  <c r="R34" i="1"/>
  <c r="R27" i="1"/>
  <c r="R44" i="1"/>
  <c r="R33" i="1"/>
  <c r="R25" i="1"/>
  <c r="R32" i="1"/>
  <c r="R35" i="1"/>
  <c r="R30" i="1"/>
  <c r="R31" i="1"/>
  <c r="R21" i="1"/>
  <c r="R23" i="1"/>
  <c r="R18" i="1"/>
  <c r="R38" i="1"/>
  <c r="R19" i="1"/>
  <c r="R39" i="1"/>
  <c r="R45" i="1"/>
  <c r="R41" i="1"/>
  <c r="R72" i="1"/>
  <c r="R68" i="1"/>
  <c r="R71" i="1"/>
  <c r="R67" i="1"/>
  <c r="R69" i="1"/>
  <c r="R73" i="1"/>
  <c r="R74" i="1"/>
  <c r="N2" i="5" l="1"/>
  <c r="P2" i="2"/>
  <c r="M2" i="5"/>
  <c r="O2" i="2"/>
  <c r="E80" i="1"/>
  <c r="T10" i="1"/>
  <c r="E25" i="1"/>
  <c r="M25" i="1"/>
  <c r="O31" i="1"/>
  <c r="G31" i="1"/>
  <c r="B32" i="1"/>
  <c r="D32" i="1"/>
  <c r="P18" i="1"/>
  <c r="X18" i="1" s="1"/>
  <c r="M19" i="1"/>
  <c r="R76" i="1"/>
  <c r="R75" i="1"/>
  <c r="R77" i="1"/>
  <c r="R79" i="1"/>
  <c r="R78" i="1"/>
  <c r="R80" i="1"/>
  <c r="T2" i="2" l="1"/>
  <c r="P2" i="5"/>
  <c r="O2" i="5"/>
  <c r="S2" i="2"/>
  <c r="F80" i="1"/>
  <c r="G81" i="1"/>
  <c r="O87" i="1" s="1"/>
  <c r="I59" i="1"/>
  <c r="I60" i="1" s="1"/>
  <c r="I66" i="1"/>
  <c r="I67" i="1" s="1"/>
  <c r="I17" i="1"/>
  <c r="I18" i="1" s="1"/>
  <c r="C81" i="1"/>
  <c r="N81" i="1" s="1"/>
  <c r="I45" i="1"/>
  <c r="I46" i="1" s="1"/>
  <c r="I80" i="1"/>
  <c r="I81" i="1" s="1"/>
  <c r="I52" i="1"/>
  <c r="I53" i="1" s="1"/>
  <c r="E10" i="1"/>
  <c r="E38" i="1" s="1"/>
  <c r="G32" i="1" s="1"/>
  <c r="I31" i="1"/>
  <c r="I32" i="1" s="1"/>
  <c r="I24" i="1"/>
  <c r="I25" i="1" s="1"/>
  <c r="E17" i="1"/>
  <c r="G10" i="1" s="1"/>
  <c r="F10" i="1"/>
  <c r="I10" i="1"/>
  <c r="I38" i="1"/>
  <c r="I39" i="1" s="1"/>
  <c r="I73" i="1"/>
  <c r="I74" i="1" s="1"/>
  <c r="D39" i="1"/>
  <c r="O38" i="1"/>
  <c r="B39" i="1"/>
  <c r="G38" i="1"/>
  <c r="M32" i="1"/>
  <c r="E32" i="1"/>
  <c r="S18" i="1"/>
  <c r="P25" i="1"/>
  <c r="M26" i="1"/>
  <c r="P19" i="1"/>
  <c r="M20" i="1"/>
  <c r="Q2" i="5" l="1"/>
  <c r="W2" i="2"/>
  <c r="X2" i="2"/>
  <c r="R2" i="5"/>
  <c r="H10" i="1"/>
  <c r="K10" i="1" s="1"/>
  <c r="E66" i="1"/>
  <c r="G60" i="1" s="1"/>
  <c r="N84" i="1"/>
  <c r="E31" i="1"/>
  <c r="H31" i="1" s="1"/>
  <c r="K31" i="1" s="1"/>
  <c r="H17" i="1"/>
  <c r="K17" i="1" s="1"/>
  <c r="F81" i="1"/>
  <c r="E59" i="1"/>
  <c r="G53" i="1" s="1"/>
  <c r="E45" i="1"/>
  <c r="G39" i="1" s="1"/>
  <c r="E73" i="1"/>
  <c r="G67" i="1" s="1"/>
  <c r="E52" i="1"/>
  <c r="G46" i="1" s="1"/>
  <c r="E24" i="1"/>
  <c r="H24" i="1" s="1"/>
  <c r="K24" i="1" s="1"/>
  <c r="N85" i="1"/>
  <c r="H32" i="1"/>
  <c r="K32" i="1" s="1"/>
  <c r="N87" i="1"/>
  <c r="N83" i="1"/>
  <c r="N86" i="1"/>
  <c r="N82" i="1"/>
  <c r="H38" i="1"/>
  <c r="K38" i="1" s="1"/>
  <c r="M39" i="1"/>
  <c r="E39" i="1"/>
  <c r="P26" i="1"/>
  <c r="M27" i="1"/>
  <c r="O45" i="1"/>
  <c r="D46" i="1"/>
  <c r="G45" i="1"/>
  <c r="B46" i="1"/>
  <c r="X25" i="1"/>
  <c r="S25" i="1"/>
  <c r="P32" i="1"/>
  <c r="M33" i="1"/>
  <c r="M21" i="1"/>
  <c r="P20" i="1"/>
  <c r="X19" i="1"/>
  <c r="S19" i="1"/>
  <c r="T2" i="5" l="1"/>
  <c r="AB2" i="2"/>
  <c r="S2" i="5"/>
  <c r="AA2" i="2"/>
  <c r="G25" i="1"/>
  <c r="H25" i="1" s="1"/>
  <c r="K25" i="1" s="1"/>
  <c r="L25" i="1" s="1"/>
  <c r="L32" i="1"/>
  <c r="L10" i="1"/>
  <c r="U10" i="1" s="1"/>
  <c r="H39" i="1"/>
  <c r="K39" i="1" s="1"/>
  <c r="H45" i="1"/>
  <c r="K45" i="1" s="1"/>
  <c r="G18" i="1"/>
  <c r="H18" i="1" s="1"/>
  <c r="K18" i="1" s="1"/>
  <c r="L18" i="1" s="1"/>
  <c r="G74" i="1"/>
  <c r="M46" i="1"/>
  <c r="E46" i="1"/>
  <c r="H46" i="1" s="1"/>
  <c r="K46" i="1" s="1"/>
  <c r="X26" i="1"/>
  <c r="S26" i="1"/>
  <c r="M34" i="1"/>
  <c r="P33" i="1"/>
  <c r="X32" i="1"/>
  <c r="S32" i="1"/>
  <c r="P39" i="1"/>
  <c r="M40" i="1"/>
  <c r="P27" i="1"/>
  <c r="M28" i="1"/>
  <c r="G52" i="1"/>
  <c r="H52" i="1" s="1"/>
  <c r="K52" i="1" s="1"/>
  <c r="B53" i="1"/>
  <c r="O52" i="1"/>
  <c r="D53" i="1"/>
  <c r="X20" i="1"/>
  <c r="S20" i="1"/>
  <c r="M22" i="1"/>
  <c r="P21" i="1"/>
  <c r="AR2" i="5" l="1"/>
  <c r="N2" i="2"/>
  <c r="U2" i="5"/>
  <c r="AE2" i="2"/>
  <c r="V2" i="5"/>
  <c r="AF2" i="2"/>
  <c r="L39" i="1"/>
  <c r="X39" i="1"/>
  <c r="S39" i="1"/>
  <c r="B60" i="1"/>
  <c r="G59" i="1"/>
  <c r="H59" i="1" s="1"/>
  <c r="K59" i="1" s="1"/>
  <c r="D60" i="1"/>
  <c r="O59" i="1"/>
  <c r="X33" i="1"/>
  <c r="S33" i="1"/>
  <c r="M53" i="1"/>
  <c r="E53" i="1"/>
  <c r="H53" i="1" s="1"/>
  <c r="K53" i="1" s="1"/>
  <c r="P28" i="1"/>
  <c r="M29" i="1"/>
  <c r="L46" i="1"/>
  <c r="P34" i="1"/>
  <c r="M35" i="1"/>
  <c r="X27" i="1"/>
  <c r="S27" i="1"/>
  <c r="P46" i="1"/>
  <c r="M47" i="1"/>
  <c r="X21" i="1"/>
  <c r="S21" i="1"/>
  <c r="M23" i="1"/>
  <c r="P22" i="1"/>
  <c r="M41" i="1"/>
  <c r="P40" i="1"/>
  <c r="W2" i="5" l="1"/>
  <c r="AI2" i="2"/>
  <c r="AJ2" i="2"/>
  <c r="X2" i="5"/>
  <c r="X40" i="1"/>
  <c r="S40" i="1"/>
  <c r="M36" i="1"/>
  <c r="P35" i="1"/>
  <c r="M42" i="1"/>
  <c r="P41" i="1"/>
  <c r="X34" i="1"/>
  <c r="S34" i="1"/>
  <c r="X22" i="1"/>
  <c r="S22" i="1"/>
  <c r="M60" i="1"/>
  <c r="E60" i="1"/>
  <c r="H60" i="1" s="1"/>
  <c r="K60" i="1" s="1"/>
  <c r="M24" i="1"/>
  <c r="P24" i="1" s="1"/>
  <c r="P23" i="1"/>
  <c r="P29" i="1"/>
  <c r="M30" i="1"/>
  <c r="X28" i="1"/>
  <c r="S28" i="1"/>
  <c r="P47" i="1"/>
  <c r="M48" i="1"/>
  <c r="X46" i="1"/>
  <c r="S46" i="1"/>
  <c r="G66" i="1"/>
  <c r="H66" i="1" s="1"/>
  <c r="K66" i="1" s="1"/>
  <c r="D67" i="1"/>
  <c r="B67" i="1"/>
  <c r="O66" i="1"/>
  <c r="L53" i="1"/>
  <c r="M54" i="1"/>
  <c r="P53" i="1"/>
  <c r="Y2" i="5" l="1"/>
  <c r="AM2" i="2"/>
  <c r="Z2" i="5"/>
  <c r="AN2" i="2"/>
  <c r="X41" i="1"/>
  <c r="S41" i="1"/>
  <c r="E67" i="1"/>
  <c r="H67" i="1" s="1"/>
  <c r="K67" i="1" s="1"/>
  <c r="M67" i="1"/>
  <c r="M31" i="1"/>
  <c r="P31" i="1" s="1"/>
  <c r="P30" i="1"/>
  <c r="M43" i="1"/>
  <c r="P42" i="1"/>
  <c r="S29" i="1"/>
  <c r="X29" i="1"/>
  <c r="P36" i="1"/>
  <c r="M37" i="1"/>
  <c r="L60" i="1"/>
  <c r="X53" i="1"/>
  <c r="S53" i="1"/>
  <c r="M55" i="1"/>
  <c r="P54" i="1"/>
  <c r="D74" i="1"/>
  <c r="O80" i="1" s="1"/>
  <c r="G73" i="1"/>
  <c r="H73" i="1" s="1"/>
  <c r="K73" i="1" s="1"/>
  <c r="O73" i="1"/>
  <c r="B74" i="1"/>
  <c r="X35" i="1"/>
  <c r="S35" i="1"/>
  <c r="X23" i="1"/>
  <c r="S23" i="1"/>
  <c r="S24" i="1"/>
  <c r="X24" i="1"/>
  <c r="P60" i="1"/>
  <c r="M61" i="1"/>
  <c r="M49" i="1"/>
  <c r="P48" i="1"/>
  <c r="X47" i="1"/>
  <c r="S47" i="1"/>
  <c r="AR2" i="2" l="1"/>
  <c r="AB2" i="5"/>
  <c r="AA2" i="5"/>
  <c r="AQ2" i="2"/>
  <c r="G80" i="1"/>
  <c r="H80" i="1" s="1"/>
  <c r="K80" i="1" s="1"/>
  <c r="D81" i="1"/>
  <c r="B81" i="1"/>
  <c r="T18" i="1"/>
  <c r="U18" i="1" s="1"/>
  <c r="Y18" i="1"/>
  <c r="M62" i="1"/>
  <c r="P61" i="1"/>
  <c r="X60" i="1"/>
  <c r="S60" i="1"/>
  <c r="X42" i="1"/>
  <c r="S42" i="1"/>
  <c r="X54" i="1"/>
  <c r="S54" i="1"/>
  <c r="X30" i="1"/>
  <c r="S30" i="1"/>
  <c r="S31" i="1"/>
  <c r="X31" i="1"/>
  <c r="P67" i="1"/>
  <c r="M68" i="1"/>
  <c r="L67" i="1"/>
  <c r="P55" i="1"/>
  <c r="M56" i="1"/>
  <c r="P49" i="1"/>
  <c r="M50" i="1"/>
  <c r="P43" i="1"/>
  <c r="M44" i="1"/>
  <c r="M74" i="1"/>
  <c r="E74" i="1"/>
  <c r="H74" i="1" s="1"/>
  <c r="K74" i="1" s="1"/>
  <c r="M38" i="1"/>
  <c r="P38" i="1" s="1"/>
  <c r="P37" i="1"/>
  <c r="X48" i="1"/>
  <c r="S48" i="1"/>
  <c r="S36" i="1"/>
  <c r="X36" i="1"/>
  <c r="AE2" i="5" l="1"/>
  <c r="AY2" i="2"/>
  <c r="AZ2" i="2"/>
  <c r="AF2" i="5"/>
  <c r="AV2" i="2"/>
  <c r="AD2" i="5"/>
  <c r="AC2" i="5"/>
  <c r="AU2" i="2"/>
  <c r="R2" i="2"/>
  <c r="AS2" i="5"/>
  <c r="L74" i="1"/>
  <c r="E81" i="1"/>
  <c r="H81" i="1" s="1"/>
  <c r="J81" i="1"/>
  <c r="M81" i="1"/>
  <c r="T25" i="1"/>
  <c r="U25" i="1" s="1"/>
  <c r="M51" i="1"/>
  <c r="P50" i="1"/>
  <c r="S37" i="1"/>
  <c r="X37" i="1"/>
  <c r="S49" i="1"/>
  <c r="X49" i="1"/>
  <c r="S38" i="1"/>
  <c r="X38" i="1"/>
  <c r="M57" i="1"/>
  <c r="P56" i="1"/>
  <c r="X55" i="1"/>
  <c r="S55" i="1"/>
  <c r="M75" i="1"/>
  <c r="P74" i="1"/>
  <c r="P44" i="1"/>
  <c r="M45" i="1"/>
  <c r="P45" i="1" s="1"/>
  <c r="P68" i="1"/>
  <c r="M69" i="1"/>
  <c r="X43" i="1"/>
  <c r="S43" i="1"/>
  <c r="X67" i="1"/>
  <c r="S67" i="1"/>
  <c r="X61" i="1"/>
  <c r="S61" i="1"/>
  <c r="M63" i="1"/>
  <c r="P62" i="1"/>
  <c r="Y25" i="1"/>
  <c r="AT2" i="5" l="1"/>
  <c r="V2" i="2"/>
  <c r="M82" i="1"/>
  <c r="P81" i="1"/>
  <c r="R81" i="1"/>
  <c r="R85" i="1"/>
  <c r="R86" i="1"/>
  <c r="R83" i="1"/>
  <c r="R84" i="1"/>
  <c r="R87" i="1"/>
  <c r="R82" i="1"/>
  <c r="K81" i="1"/>
  <c r="L81" i="1" s="1"/>
  <c r="T32" i="1"/>
  <c r="U32" i="1" s="1"/>
  <c r="Y32" i="1"/>
  <c r="S62" i="1"/>
  <c r="X62" i="1"/>
  <c r="S68" i="1"/>
  <c r="X68" i="1"/>
  <c r="X45" i="1"/>
  <c r="S45" i="1"/>
  <c r="X44" i="1"/>
  <c r="S44" i="1"/>
  <c r="M52" i="1"/>
  <c r="P52" i="1" s="1"/>
  <c r="P51" i="1"/>
  <c r="M64" i="1"/>
  <c r="P63" i="1"/>
  <c r="S74" i="1"/>
  <c r="X74" i="1"/>
  <c r="S50" i="1"/>
  <c r="X50" i="1"/>
  <c r="M76" i="1"/>
  <c r="P75" i="1"/>
  <c r="S56" i="1"/>
  <c r="X56" i="1"/>
  <c r="P57" i="1"/>
  <c r="M58" i="1"/>
  <c r="M70" i="1"/>
  <c r="P69" i="1"/>
  <c r="Z2" i="2" l="1"/>
  <c r="AU2" i="5"/>
  <c r="S81" i="1"/>
  <c r="X81" i="1"/>
  <c r="P82" i="1"/>
  <c r="M83" i="1"/>
  <c r="T39" i="1"/>
  <c r="U39" i="1" s="1"/>
  <c r="Y39" i="1"/>
  <c r="M65" i="1"/>
  <c r="P64" i="1"/>
  <c r="S52" i="1"/>
  <c r="X52" i="1"/>
  <c r="S69" i="1"/>
  <c r="X69" i="1"/>
  <c r="P70" i="1"/>
  <c r="M71" i="1"/>
  <c r="P58" i="1"/>
  <c r="M59" i="1"/>
  <c r="P59" i="1" s="1"/>
  <c r="S63" i="1"/>
  <c r="X63" i="1"/>
  <c r="S57" i="1"/>
  <c r="X57" i="1"/>
  <c r="S51" i="1"/>
  <c r="X51" i="1"/>
  <c r="X75" i="1"/>
  <c r="S75" i="1"/>
  <c r="P76" i="1"/>
  <c r="M77" i="1"/>
  <c r="AD2" i="2" l="1"/>
  <c r="AV2" i="5"/>
  <c r="P83" i="1"/>
  <c r="M84" i="1"/>
  <c r="S82" i="1"/>
  <c r="X82" i="1"/>
  <c r="T46" i="1"/>
  <c r="U46" i="1" s="1"/>
  <c r="S64" i="1"/>
  <c r="X64" i="1"/>
  <c r="S58" i="1"/>
  <c r="X58" i="1"/>
  <c r="P71" i="1"/>
  <c r="M72" i="1"/>
  <c r="Y46" i="1"/>
  <c r="P65" i="1"/>
  <c r="M66" i="1"/>
  <c r="P66" i="1" s="1"/>
  <c r="S59" i="1"/>
  <c r="X59" i="1"/>
  <c r="P77" i="1"/>
  <c r="M78" i="1"/>
  <c r="S76" i="1"/>
  <c r="X76" i="1"/>
  <c r="S70" i="1"/>
  <c r="X70" i="1"/>
  <c r="AW2" i="5" l="1"/>
  <c r="AH2" i="2"/>
  <c r="P84" i="1"/>
  <c r="M85" i="1"/>
  <c r="S83" i="1"/>
  <c r="X83" i="1"/>
  <c r="Y53" i="1"/>
  <c r="T53" i="1"/>
  <c r="U53" i="1" s="1"/>
  <c r="S66" i="1"/>
  <c r="X66" i="1"/>
  <c r="S65" i="1"/>
  <c r="X65" i="1"/>
  <c r="M73" i="1"/>
  <c r="P73" i="1" s="1"/>
  <c r="P72" i="1"/>
  <c r="S71" i="1"/>
  <c r="X71" i="1"/>
  <c r="P78" i="1"/>
  <c r="M79" i="1"/>
  <c r="S77" i="1"/>
  <c r="X77" i="1"/>
  <c r="AL2" i="2" l="1"/>
  <c r="AX2" i="5"/>
  <c r="P85" i="1"/>
  <c r="M86" i="1"/>
  <c r="S84" i="1"/>
  <c r="X84" i="1"/>
  <c r="S72" i="1"/>
  <c r="X72" i="1"/>
  <c r="S73" i="1"/>
  <c r="X73" i="1"/>
  <c r="S78" i="1"/>
  <c r="X78" i="1"/>
  <c r="P79" i="1"/>
  <c r="M80" i="1"/>
  <c r="P80" i="1" s="1"/>
  <c r="Y60" i="1"/>
  <c r="T60" i="1"/>
  <c r="U60" i="1" s="1"/>
  <c r="AP2" i="2" l="1"/>
  <c r="AY2" i="5"/>
  <c r="P86" i="1"/>
  <c r="M87" i="1"/>
  <c r="P87" i="1" s="1"/>
  <c r="S85" i="1"/>
  <c r="X85" i="1"/>
  <c r="Y67" i="1"/>
  <c r="S79" i="1"/>
  <c r="X79" i="1"/>
  <c r="S80" i="1"/>
  <c r="X80" i="1"/>
  <c r="T67" i="1"/>
  <c r="U67" i="1" s="1"/>
  <c r="AZ2" i="5" l="1"/>
  <c r="AT2" i="2"/>
  <c r="S87" i="1"/>
  <c r="X87" i="1"/>
  <c r="S86" i="1"/>
  <c r="X86" i="1"/>
  <c r="Y74" i="1"/>
  <c r="T74" i="1"/>
  <c r="U74" i="1" s="1"/>
  <c r="BA2" i="5" l="1"/>
  <c r="AX2" i="2"/>
  <c r="Y81" i="1"/>
  <c r="Y88" i="1" s="1"/>
  <c r="T81" i="1"/>
  <c r="U81" i="1" s="1"/>
  <c r="BB2" i="5" l="1"/>
  <c r="BB2" i="2"/>
  <c r="U88" i="1"/>
  <c r="J2" i="5" l="1"/>
  <c r="J2" i="2"/>
</calcChain>
</file>

<file path=xl/sharedStrings.xml><?xml version="1.0" encoding="utf-8"?>
<sst xmlns="http://schemas.openxmlformats.org/spreadsheetml/2006/main" count="267" uniqueCount="113">
  <si>
    <t>地域再生支援利子補給金</t>
    <rPh sb="0" eb="2">
      <t>チイキ</t>
    </rPh>
    <rPh sb="2" eb="4">
      <t>サイセイ</t>
    </rPh>
    <rPh sb="4" eb="6">
      <t>シエン</t>
    </rPh>
    <rPh sb="6" eb="8">
      <t>リシ</t>
    </rPh>
    <rPh sb="8" eb="10">
      <t>ホキュウ</t>
    </rPh>
    <rPh sb="10" eb="11">
      <t>キン</t>
    </rPh>
    <phoneticPr fontId="1"/>
  </si>
  <si>
    <t>単位期間</t>
    <rPh sb="0" eb="4">
      <t>タンイキカン</t>
    </rPh>
    <phoneticPr fontId="1"/>
  </si>
  <si>
    <t>～</t>
    <phoneticPr fontId="1"/>
  </si>
  <si>
    <t>別紙様式第８</t>
    <phoneticPr fontId="1"/>
  </si>
  <si>
    <t>利子補給金の額の計算表</t>
    <rPh sb="0" eb="5">
      <t>リシホキュウキン</t>
    </rPh>
    <rPh sb="6" eb="7">
      <t>ガク</t>
    </rPh>
    <rPh sb="8" eb="11">
      <t>ケイサンヒョウ</t>
    </rPh>
    <phoneticPr fontId="1"/>
  </si>
  <si>
    <t>指定金融機関</t>
    <rPh sb="0" eb="2">
      <t>シテイ</t>
    </rPh>
    <rPh sb="2" eb="4">
      <t>キンユウ</t>
    </rPh>
    <rPh sb="4" eb="6">
      <t>キカン</t>
    </rPh>
    <phoneticPr fontId="1"/>
  </si>
  <si>
    <t>利子補給金支給事業者</t>
    <phoneticPr fontId="1"/>
  </si>
  <si>
    <t>貸付実行日</t>
    <rPh sb="0" eb="2">
      <t>カシツ</t>
    </rPh>
    <rPh sb="2" eb="4">
      <t>ジッコウ</t>
    </rPh>
    <rPh sb="4" eb="5">
      <t>ビ</t>
    </rPh>
    <phoneticPr fontId="1"/>
  </si>
  <si>
    <t>貸付額</t>
    <rPh sb="0" eb="3">
      <t>カシツケガク</t>
    </rPh>
    <phoneticPr fontId="1"/>
  </si>
  <si>
    <t>貸付金利の区分</t>
    <rPh sb="0" eb="2">
      <t>カシツ</t>
    </rPh>
    <rPh sb="2" eb="4">
      <t>キンリ</t>
    </rPh>
    <rPh sb="5" eb="7">
      <t>クブン</t>
    </rPh>
    <phoneticPr fontId="1"/>
  </si>
  <si>
    <t>変動の補足</t>
    <rPh sb="0" eb="2">
      <t>ヘンドウ</t>
    </rPh>
    <rPh sb="3" eb="5">
      <t>ホソク</t>
    </rPh>
    <phoneticPr fontId="1"/>
  </si>
  <si>
    <t>＜参考＞</t>
    <rPh sb="1" eb="3">
      <t>サンコウ</t>
    </rPh>
    <phoneticPr fontId="1"/>
  </si>
  <si>
    <t>規則の償還方法及び告示の利子補給率をもって計算した額（円）</t>
    <rPh sb="0" eb="2">
      <t>キソク</t>
    </rPh>
    <rPh sb="3" eb="5">
      <t>ショウカン</t>
    </rPh>
    <rPh sb="5" eb="7">
      <t>ホウホウ</t>
    </rPh>
    <rPh sb="7" eb="8">
      <t>オヨ</t>
    </rPh>
    <rPh sb="9" eb="11">
      <t>コクジ</t>
    </rPh>
    <rPh sb="12" eb="17">
      <t>リシホキュウリツ</t>
    </rPh>
    <rPh sb="21" eb="23">
      <t>ケイサン</t>
    </rPh>
    <rPh sb="25" eb="26">
      <t>ガク</t>
    </rPh>
    <rPh sb="27" eb="28">
      <t>エン</t>
    </rPh>
    <phoneticPr fontId="1"/>
  </si>
  <si>
    <t>貸付契約の貸付残高等をもって計算した額（円）</t>
    <rPh sb="0" eb="2">
      <t>カシツケ</t>
    </rPh>
    <rPh sb="2" eb="4">
      <t>ケイヤク</t>
    </rPh>
    <rPh sb="5" eb="7">
      <t>カシツケ</t>
    </rPh>
    <rPh sb="7" eb="9">
      <t>ザンダカ</t>
    </rPh>
    <rPh sb="9" eb="10">
      <t>トウ</t>
    </rPh>
    <rPh sb="14" eb="16">
      <t>ケイサン</t>
    </rPh>
    <rPh sb="18" eb="19">
      <t>ガク</t>
    </rPh>
    <rPh sb="20" eb="21">
      <t>エン</t>
    </rPh>
    <phoneticPr fontId="1"/>
  </si>
  <si>
    <t>利子補給金の額（円）</t>
    <rPh sb="0" eb="5">
      <t>リシホキュウキン</t>
    </rPh>
    <rPh sb="6" eb="7">
      <t>ガク</t>
    </rPh>
    <rPh sb="8" eb="9">
      <t>エン</t>
    </rPh>
    <phoneticPr fontId="1"/>
  </si>
  <si>
    <t>貸付
金利
【Ｘ】</t>
    <rPh sb="0" eb="2">
      <t>カシツ</t>
    </rPh>
    <rPh sb="3" eb="5">
      <t>キンリ</t>
    </rPh>
    <phoneticPr fontId="1"/>
  </si>
  <si>
    <t>実際の利息額</t>
    <rPh sb="0" eb="2">
      <t>ジッサイ</t>
    </rPh>
    <rPh sb="3" eb="5">
      <t>リソク</t>
    </rPh>
    <rPh sb="5" eb="6">
      <t>ガク</t>
    </rPh>
    <phoneticPr fontId="1"/>
  </si>
  <si>
    <t>期間</t>
    <rPh sb="0" eb="2">
      <t>キカン</t>
    </rPh>
    <phoneticPr fontId="1"/>
  </si>
  <si>
    <t>日数
【Ｂ】</t>
    <rPh sb="0" eb="2">
      <t>ニッスウ</t>
    </rPh>
    <phoneticPr fontId="1"/>
  </si>
  <si>
    <t>貸付残高
【Ａ】</t>
    <rPh sb="0" eb="2">
      <t>カシツ</t>
    </rPh>
    <rPh sb="2" eb="4">
      <t>ザンダカ</t>
    </rPh>
    <phoneticPr fontId="1"/>
  </si>
  <si>
    <t>告示で
定める率【Ｃ】</t>
    <rPh sb="0" eb="2">
      <t>コクジ</t>
    </rPh>
    <rPh sb="4" eb="5">
      <t>サダ</t>
    </rPh>
    <rPh sb="7" eb="8">
      <t>リツ</t>
    </rPh>
    <phoneticPr fontId="1"/>
  </si>
  <si>
    <t>Ａ×Ｂ
／365×Ｃ
【イ】</t>
    <phoneticPr fontId="1"/>
  </si>
  <si>
    <t>イの合計
【ロ】</t>
    <rPh sb="2" eb="4">
      <t>ゴウケイ</t>
    </rPh>
    <phoneticPr fontId="1"/>
  </si>
  <si>
    <t>日数
【Ｂ´】</t>
    <rPh sb="0" eb="2">
      <t>ニッスウ</t>
    </rPh>
    <phoneticPr fontId="1"/>
  </si>
  <si>
    <t>貸付残高
【Ａ´】</t>
    <rPh sb="0" eb="2">
      <t>カシツ</t>
    </rPh>
    <rPh sb="2" eb="4">
      <t>ザンダカ</t>
    </rPh>
    <phoneticPr fontId="1"/>
  </si>
  <si>
    <r>
      <rPr>
        <sz val="9"/>
        <color theme="1"/>
        <rFont val="HGP創英角ｺﾞｼｯｸUB"/>
        <family val="3"/>
        <charset val="128"/>
      </rPr>
      <t xml:space="preserve">Ｃ又はＸの
いずれか
低い率
</t>
    </r>
    <r>
      <rPr>
        <sz val="10.5"/>
        <color theme="1"/>
        <rFont val="HGP創英角ｺﾞｼｯｸUB"/>
        <family val="3"/>
        <charset val="128"/>
      </rPr>
      <t>【Ｃ´】</t>
    </r>
    <rPh sb="1" eb="2">
      <t>マタ</t>
    </rPh>
    <rPh sb="11" eb="12">
      <t>ヒク</t>
    </rPh>
    <rPh sb="13" eb="14">
      <t>リツ</t>
    </rPh>
    <phoneticPr fontId="1"/>
  </si>
  <si>
    <t>Ａ´×Ｂ´
／365×Ｃ´
【イ´】</t>
    <phoneticPr fontId="1"/>
  </si>
  <si>
    <t>イ´の合計
【ロ´】</t>
    <phoneticPr fontId="1"/>
  </si>
  <si>
    <t>ロ又はロ´
のいずれか
低い額</t>
    <rPh sb="1" eb="2">
      <t>マタ</t>
    </rPh>
    <rPh sb="12" eb="13">
      <t>ヒク</t>
    </rPh>
    <rPh sb="14" eb="15">
      <t>ガク</t>
    </rPh>
    <phoneticPr fontId="1"/>
  </si>
  <si>
    <t>Ａ´×Ｂ´
／365×Ｘ
【ハ】</t>
    <phoneticPr fontId="1"/>
  </si>
  <si>
    <t>ハの合計</t>
    <phoneticPr fontId="1"/>
  </si>
  <si>
    <t>合計</t>
    <rPh sb="0" eb="2">
      <t>ゴウケイ</t>
    </rPh>
    <phoneticPr fontId="1"/>
  </si>
  <si>
    <t>基準日　9/10,3/10</t>
    <rPh sb="0" eb="3">
      <t>キジュンビ</t>
    </rPh>
    <phoneticPr fontId="10"/>
  </si>
  <si>
    <t>特例期間　8/11-9/10,2/11-3/10</t>
    <rPh sb="0" eb="2">
      <t>トクレイ</t>
    </rPh>
    <rPh sb="2" eb="4">
      <t>キカン</t>
    </rPh>
    <phoneticPr fontId="10"/>
  </si>
  <si>
    <t>初回基準日の末日</t>
    <rPh sb="0" eb="2">
      <t>ショカイ</t>
    </rPh>
    <rPh sb="2" eb="5">
      <t>キジュンビ</t>
    </rPh>
    <rPh sb="6" eb="8">
      <t>マツジツ</t>
    </rPh>
    <phoneticPr fontId="10"/>
  </si>
  <si>
    <t>特定地域再生支援利子補給金</t>
    <rPh sb="0" eb="2">
      <t>トクテイ</t>
    </rPh>
    <rPh sb="2" eb="4">
      <t>チイキ</t>
    </rPh>
    <rPh sb="4" eb="6">
      <t>サイセイ</t>
    </rPh>
    <rPh sb="6" eb="8">
      <t>シエン</t>
    </rPh>
    <rPh sb="8" eb="10">
      <t>リシ</t>
    </rPh>
    <rPh sb="10" eb="12">
      <t>ホキュウ</t>
    </rPh>
    <rPh sb="12" eb="13">
      <t>キン</t>
    </rPh>
    <phoneticPr fontId="1"/>
  </si>
  <si>
    <t>国際戦略総合特区支援利子補給金</t>
    <rPh sb="0" eb="2">
      <t>コクサイ</t>
    </rPh>
    <rPh sb="2" eb="4">
      <t>センリャク</t>
    </rPh>
    <rPh sb="4" eb="6">
      <t>ソウゴウ</t>
    </rPh>
    <rPh sb="6" eb="8">
      <t>トック</t>
    </rPh>
    <rPh sb="8" eb="10">
      <t>シエン</t>
    </rPh>
    <rPh sb="10" eb="12">
      <t>リシ</t>
    </rPh>
    <rPh sb="12" eb="14">
      <t>ホキュウ</t>
    </rPh>
    <rPh sb="14" eb="15">
      <t>キン</t>
    </rPh>
    <phoneticPr fontId="1"/>
  </si>
  <si>
    <t>地域活性化総合特区支援利子補給金</t>
    <rPh sb="0" eb="5">
      <t>チイキカッセイカ</t>
    </rPh>
    <rPh sb="5" eb="9">
      <t>ソウゴウトック</t>
    </rPh>
    <rPh sb="9" eb="11">
      <t>シエン</t>
    </rPh>
    <rPh sb="11" eb="16">
      <t>リシホキュウキン</t>
    </rPh>
    <phoneticPr fontId="1"/>
  </si>
  <si>
    <t>No.(空欄)</t>
    <rPh sb="4" eb="6">
      <t>クウラン</t>
    </rPh>
    <phoneticPr fontId="10"/>
  </si>
  <si>
    <t>日付</t>
    <rPh sb="0" eb="2">
      <t>ヒヅケ</t>
    </rPh>
    <phoneticPr fontId="10"/>
  </si>
  <si>
    <t>住所</t>
    <rPh sb="0" eb="2">
      <t>ジュウショ</t>
    </rPh>
    <phoneticPr fontId="10"/>
  </si>
  <si>
    <t>指定金名称</t>
    <rPh sb="0" eb="2">
      <t>シテイ</t>
    </rPh>
    <rPh sb="2" eb="3">
      <t>キン</t>
    </rPh>
    <rPh sb="3" eb="5">
      <t>メイショウ</t>
    </rPh>
    <phoneticPr fontId="10"/>
  </si>
  <si>
    <t>氏名</t>
    <rPh sb="0" eb="2">
      <t>シメイ</t>
    </rPh>
    <phoneticPr fontId="10"/>
  </si>
  <si>
    <t>１．計画名</t>
    <rPh sb="2" eb="4">
      <t>ケイカク</t>
    </rPh>
    <rPh sb="4" eb="5">
      <t>メイ</t>
    </rPh>
    <phoneticPr fontId="10"/>
  </si>
  <si>
    <t>２．推薦事業者名</t>
    <rPh sb="2" eb="4">
      <t>スイセン</t>
    </rPh>
    <rPh sb="4" eb="7">
      <t>ジギョウシャ</t>
    </rPh>
    <rPh sb="7" eb="8">
      <t>メイ</t>
    </rPh>
    <phoneticPr fontId="10"/>
  </si>
  <si>
    <t>貸付実行日</t>
    <rPh sb="0" eb="2">
      <t>カシツケ</t>
    </rPh>
    <rPh sb="2" eb="4">
      <t>ジッコウ</t>
    </rPh>
    <rPh sb="4" eb="5">
      <t>ビ</t>
    </rPh>
    <phoneticPr fontId="10"/>
  </si>
  <si>
    <t>貸付額</t>
    <rPh sb="0" eb="2">
      <t>カシツケ</t>
    </rPh>
    <rPh sb="2" eb="3">
      <t>ガク</t>
    </rPh>
    <phoneticPr fontId="10"/>
  </si>
  <si>
    <t>総支給額</t>
    <rPh sb="0" eb="1">
      <t>ソウ</t>
    </rPh>
    <rPh sb="1" eb="4">
      <t>シキュウガク</t>
    </rPh>
    <phoneticPr fontId="10"/>
  </si>
  <si>
    <t>３．単位期間1s</t>
    <rPh sb="2" eb="4">
      <t>タンイ</t>
    </rPh>
    <rPh sb="4" eb="6">
      <t>キカン</t>
    </rPh>
    <phoneticPr fontId="10"/>
  </si>
  <si>
    <t>３．単位期間1e</t>
    <rPh sb="2" eb="4">
      <t>タンイ</t>
    </rPh>
    <rPh sb="4" eb="6">
      <t>キカン</t>
    </rPh>
    <phoneticPr fontId="10"/>
  </si>
  <si>
    <t>３．残高1</t>
    <rPh sb="2" eb="4">
      <t>ザンダカ</t>
    </rPh>
    <phoneticPr fontId="10"/>
  </si>
  <si>
    <t>３．利補金額1</t>
    <rPh sb="2" eb="3">
      <t>リ</t>
    </rPh>
    <rPh sb="3" eb="4">
      <t>ホ</t>
    </rPh>
    <rPh sb="4" eb="6">
      <t>キンガク</t>
    </rPh>
    <phoneticPr fontId="10"/>
  </si>
  <si>
    <t>３．単位期間2s</t>
    <rPh sb="2" eb="4">
      <t>タンイ</t>
    </rPh>
    <rPh sb="4" eb="6">
      <t>キカン</t>
    </rPh>
    <phoneticPr fontId="10"/>
  </si>
  <si>
    <t>３．単位期間2e</t>
    <rPh sb="2" eb="4">
      <t>タンイ</t>
    </rPh>
    <rPh sb="4" eb="6">
      <t>キカン</t>
    </rPh>
    <phoneticPr fontId="10"/>
  </si>
  <si>
    <t>３．残高2</t>
    <rPh sb="2" eb="4">
      <t>ザンダカ</t>
    </rPh>
    <phoneticPr fontId="10"/>
  </si>
  <si>
    <t>３．利補金額2</t>
    <rPh sb="2" eb="3">
      <t>リ</t>
    </rPh>
    <rPh sb="3" eb="4">
      <t>ホ</t>
    </rPh>
    <rPh sb="4" eb="6">
      <t>キンガク</t>
    </rPh>
    <phoneticPr fontId="10"/>
  </si>
  <si>
    <t>３．単位期間3s</t>
    <rPh sb="2" eb="4">
      <t>タンイ</t>
    </rPh>
    <rPh sb="4" eb="6">
      <t>キカン</t>
    </rPh>
    <phoneticPr fontId="10"/>
  </si>
  <si>
    <t>３．単位期間3e</t>
    <rPh sb="2" eb="4">
      <t>タンイ</t>
    </rPh>
    <rPh sb="4" eb="6">
      <t>キカン</t>
    </rPh>
    <phoneticPr fontId="10"/>
  </si>
  <si>
    <t>３．残高3</t>
    <rPh sb="2" eb="4">
      <t>ザンダカ</t>
    </rPh>
    <phoneticPr fontId="10"/>
  </si>
  <si>
    <t>３．利補金額3</t>
    <rPh sb="2" eb="3">
      <t>リ</t>
    </rPh>
    <rPh sb="3" eb="4">
      <t>ホ</t>
    </rPh>
    <rPh sb="4" eb="6">
      <t>キンガク</t>
    </rPh>
    <phoneticPr fontId="10"/>
  </si>
  <si>
    <t>３．単位期間4s</t>
    <rPh sb="2" eb="4">
      <t>タンイ</t>
    </rPh>
    <rPh sb="4" eb="6">
      <t>キカン</t>
    </rPh>
    <phoneticPr fontId="10"/>
  </si>
  <si>
    <t>３．単位期間4e</t>
    <rPh sb="2" eb="4">
      <t>タンイ</t>
    </rPh>
    <rPh sb="4" eb="6">
      <t>キカン</t>
    </rPh>
    <phoneticPr fontId="10"/>
  </si>
  <si>
    <t>３．残高4</t>
    <rPh sb="2" eb="4">
      <t>ザンダカ</t>
    </rPh>
    <phoneticPr fontId="10"/>
  </si>
  <si>
    <t>３．利補金額4</t>
    <rPh sb="2" eb="3">
      <t>リ</t>
    </rPh>
    <rPh sb="3" eb="4">
      <t>ホ</t>
    </rPh>
    <rPh sb="4" eb="6">
      <t>キンガク</t>
    </rPh>
    <phoneticPr fontId="10"/>
  </si>
  <si>
    <t>３．単位期間5s</t>
    <rPh sb="2" eb="4">
      <t>タンイ</t>
    </rPh>
    <rPh sb="4" eb="6">
      <t>キカン</t>
    </rPh>
    <phoneticPr fontId="10"/>
  </si>
  <si>
    <t>３．単位期間5e</t>
    <rPh sb="2" eb="4">
      <t>タンイ</t>
    </rPh>
    <rPh sb="4" eb="6">
      <t>キカン</t>
    </rPh>
    <phoneticPr fontId="10"/>
  </si>
  <si>
    <t>３．残高5</t>
    <rPh sb="2" eb="4">
      <t>ザンダカ</t>
    </rPh>
    <phoneticPr fontId="10"/>
  </si>
  <si>
    <t>３．利補金額5</t>
    <rPh sb="2" eb="3">
      <t>リ</t>
    </rPh>
    <rPh sb="3" eb="4">
      <t>ホ</t>
    </rPh>
    <rPh sb="4" eb="6">
      <t>キンガク</t>
    </rPh>
    <phoneticPr fontId="10"/>
  </si>
  <si>
    <t>３．単位期間6s</t>
    <rPh sb="2" eb="4">
      <t>タンイ</t>
    </rPh>
    <rPh sb="4" eb="6">
      <t>キカン</t>
    </rPh>
    <phoneticPr fontId="10"/>
  </si>
  <si>
    <t>３．単位期間6e</t>
    <rPh sb="2" eb="4">
      <t>タンイ</t>
    </rPh>
    <rPh sb="4" eb="6">
      <t>キカン</t>
    </rPh>
    <phoneticPr fontId="10"/>
  </si>
  <si>
    <t>３．残高6</t>
    <rPh sb="2" eb="4">
      <t>ザンダカ</t>
    </rPh>
    <phoneticPr fontId="10"/>
  </si>
  <si>
    <t>３．利補金額6</t>
    <rPh sb="2" eb="3">
      <t>リ</t>
    </rPh>
    <rPh sb="3" eb="4">
      <t>ホ</t>
    </rPh>
    <rPh sb="4" eb="6">
      <t>キンガク</t>
    </rPh>
    <phoneticPr fontId="10"/>
  </si>
  <si>
    <t>３．単位期間7s</t>
    <rPh sb="2" eb="4">
      <t>タンイ</t>
    </rPh>
    <rPh sb="4" eb="6">
      <t>キカン</t>
    </rPh>
    <phoneticPr fontId="10"/>
  </si>
  <si>
    <t>３．単位期間7e</t>
    <rPh sb="2" eb="4">
      <t>タンイ</t>
    </rPh>
    <rPh sb="4" eb="6">
      <t>キカン</t>
    </rPh>
    <phoneticPr fontId="10"/>
  </si>
  <si>
    <t>３．残高7</t>
    <rPh sb="2" eb="4">
      <t>ザンダカ</t>
    </rPh>
    <phoneticPr fontId="10"/>
  </si>
  <si>
    <t>３．利補金額7</t>
    <rPh sb="2" eb="3">
      <t>リ</t>
    </rPh>
    <rPh sb="3" eb="4">
      <t>ホ</t>
    </rPh>
    <rPh sb="4" eb="6">
      <t>キンガク</t>
    </rPh>
    <phoneticPr fontId="10"/>
  </si>
  <si>
    <t>３．単位期間8s</t>
    <rPh sb="2" eb="4">
      <t>タンイ</t>
    </rPh>
    <rPh sb="4" eb="6">
      <t>キカン</t>
    </rPh>
    <phoneticPr fontId="10"/>
  </si>
  <si>
    <t>３．単位期間8e</t>
    <rPh sb="2" eb="4">
      <t>タンイ</t>
    </rPh>
    <rPh sb="4" eb="6">
      <t>キカン</t>
    </rPh>
    <phoneticPr fontId="10"/>
  </si>
  <si>
    <t>３．残高8</t>
    <rPh sb="2" eb="4">
      <t>ザンダカ</t>
    </rPh>
    <phoneticPr fontId="10"/>
  </si>
  <si>
    <t>３．利補金額8</t>
    <rPh sb="2" eb="3">
      <t>リ</t>
    </rPh>
    <rPh sb="3" eb="4">
      <t>ホ</t>
    </rPh>
    <rPh sb="4" eb="6">
      <t>キンガク</t>
    </rPh>
    <phoneticPr fontId="10"/>
  </si>
  <si>
    <t>３．単位期間9s</t>
    <rPh sb="2" eb="4">
      <t>タンイ</t>
    </rPh>
    <rPh sb="4" eb="6">
      <t>キカン</t>
    </rPh>
    <phoneticPr fontId="10"/>
  </si>
  <si>
    <t>３．単位期間9e</t>
    <rPh sb="2" eb="4">
      <t>タンイ</t>
    </rPh>
    <rPh sb="4" eb="6">
      <t>キカン</t>
    </rPh>
    <phoneticPr fontId="10"/>
  </si>
  <si>
    <t>３．残高9</t>
    <rPh sb="2" eb="4">
      <t>ザンダカ</t>
    </rPh>
    <phoneticPr fontId="10"/>
  </si>
  <si>
    <t>３．利補金額9</t>
    <rPh sb="2" eb="3">
      <t>リ</t>
    </rPh>
    <rPh sb="3" eb="4">
      <t>ホ</t>
    </rPh>
    <rPh sb="4" eb="6">
      <t>キンガク</t>
    </rPh>
    <phoneticPr fontId="10"/>
  </si>
  <si>
    <t>３．単位期間10s</t>
    <rPh sb="2" eb="4">
      <t>タンイ</t>
    </rPh>
    <rPh sb="4" eb="6">
      <t>キカン</t>
    </rPh>
    <phoneticPr fontId="10"/>
  </si>
  <si>
    <t>３．単位期間10e</t>
    <rPh sb="2" eb="4">
      <t>タンイ</t>
    </rPh>
    <rPh sb="4" eb="6">
      <t>キカン</t>
    </rPh>
    <phoneticPr fontId="10"/>
  </si>
  <si>
    <t>３．残高10</t>
    <rPh sb="2" eb="4">
      <t>ザンダカ</t>
    </rPh>
    <phoneticPr fontId="10"/>
  </si>
  <si>
    <t>３．利補金額10</t>
    <rPh sb="2" eb="3">
      <t>リ</t>
    </rPh>
    <rPh sb="3" eb="4">
      <t>ホ</t>
    </rPh>
    <rPh sb="4" eb="6">
      <t>キンガク</t>
    </rPh>
    <phoneticPr fontId="10"/>
  </si>
  <si>
    <t>３．単位期間11s</t>
    <rPh sb="2" eb="4">
      <t>タンイ</t>
    </rPh>
    <rPh sb="4" eb="6">
      <t>キカン</t>
    </rPh>
    <phoneticPr fontId="10"/>
  </si>
  <si>
    <t>３．単位期間11e</t>
    <rPh sb="2" eb="4">
      <t>タンイ</t>
    </rPh>
    <rPh sb="4" eb="6">
      <t>キカン</t>
    </rPh>
    <phoneticPr fontId="10"/>
  </si>
  <si>
    <t>３．残高11</t>
    <rPh sb="2" eb="4">
      <t>ザンダカ</t>
    </rPh>
    <phoneticPr fontId="10"/>
  </si>
  <si>
    <t>３．利補金額11</t>
    <rPh sb="2" eb="3">
      <t>リ</t>
    </rPh>
    <rPh sb="3" eb="4">
      <t>ホ</t>
    </rPh>
    <rPh sb="4" eb="6">
      <t>キンガク</t>
    </rPh>
    <phoneticPr fontId="10"/>
  </si>
  <si>
    <t>国家戦略特区支援利子補給金</t>
    <rPh sb="0" eb="2">
      <t>コッカ</t>
    </rPh>
    <rPh sb="2" eb="4">
      <t>センリャク</t>
    </rPh>
    <rPh sb="4" eb="6">
      <t>トック</t>
    </rPh>
    <rPh sb="6" eb="8">
      <t>シエン</t>
    </rPh>
    <rPh sb="8" eb="10">
      <t>リシ</t>
    </rPh>
    <rPh sb="10" eb="12">
      <t>ホキュウ</t>
    </rPh>
    <rPh sb="12" eb="13">
      <t>キン</t>
    </rPh>
    <phoneticPr fontId="1"/>
  </si>
  <si>
    <t>利子補給金</t>
    <rPh sb="0" eb="5">
      <t>リシホキュウキン</t>
    </rPh>
    <phoneticPr fontId="1"/>
  </si>
  <si>
    <t>地域再生</t>
    <rPh sb="0" eb="4">
      <t>チイキサイセイ</t>
    </rPh>
    <phoneticPr fontId="1"/>
  </si>
  <si>
    <t>総合特区</t>
    <rPh sb="0" eb="4">
      <t>ソウゴウトック</t>
    </rPh>
    <phoneticPr fontId="1"/>
  </si>
  <si>
    <t>国家戦略特区</t>
    <rPh sb="0" eb="6">
      <t>コッカセンリャクトック</t>
    </rPh>
    <phoneticPr fontId="1"/>
  </si>
  <si>
    <t>基準日　8/20,2/20</t>
  </si>
  <si>
    <t>初回基準日の末日</t>
  </si>
  <si>
    <t>計算表シート貼り付け用</t>
    <rPh sb="0" eb="2">
      <t>ケイサン</t>
    </rPh>
    <rPh sb="2" eb="3">
      <t>ヒョウ</t>
    </rPh>
    <rPh sb="6" eb="7">
      <t>ハ</t>
    </rPh>
    <rPh sb="8" eb="9">
      <t>ツ</t>
    </rPh>
    <rPh sb="10" eb="11">
      <t>ヨウ</t>
    </rPh>
    <phoneticPr fontId="1"/>
  </si>
  <si>
    <t>計算表シートT6の値</t>
    <rPh sb="0" eb="2">
      <t>ケイサン</t>
    </rPh>
    <rPh sb="2" eb="3">
      <t>ヒョウ</t>
    </rPh>
    <rPh sb="9" eb="10">
      <t>アタイ</t>
    </rPh>
    <phoneticPr fontId="10"/>
  </si>
  <si>
    <t>特例期間　7/26-8/20,1/26-2/20</t>
    <phoneticPr fontId="10"/>
  </si>
  <si>
    <t>計画名【※任意入力】</t>
    <rPh sb="0" eb="2">
      <t>ケイカク</t>
    </rPh>
    <rPh sb="2" eb="3">
      <t>メイ</t>
    </rPh>
    <phoneticPr fontId="1"/>
  </si>
  <si>
    <t>毎期間一定の日付で計算</t>
    <rPh sb="0" eb="1">
      <t>ゴト</t>
    </rPh>
    <rPh sb="1" eb="3">
      <t>キカン</t>
    </rPh>
    <rPh sb="3" eb="5">
      <t>イッテイ</t>
    </rPh>
    <rPh sb="6" eb="8">
      <t>ヒヅケ</t>
    </rPh>
    <rPh sb="9" eb="11">
      <t>ケイサン</t>
    </rPh>
    <phoneticPr fontId="1"/>
  </si>
  <si>
    <t>実際の返済日に合わせて計算</t>
    <rPh sb="0" eb="2">
      <t>ジッサイ</t>
    </rPh>
    <rPh sb="3" eb="6">
      <t>ヘンサイビ</t>
    </rPh>
    <rPh sb="7" eb="8">
      <t>ア</t>
    </rPh>
    <rPh sb="11" eb="13">
      <t>ケイサン</t>
    </rPh>
    <phoneticPr fontId="1"/>
  </si>
  <si>
    <t>【利息計算等に係る補足】</t>
    <rPh sb="1" eb="3">
      <t>リソク</t>
    </rPh>
    <rPh sb="3" eb="5">
      <t>ケイサン</t>
    </rPh>
    <rPh sb="5" eb="6">
      <t>トウ</t>
    </rPh>
    <rPh sb="7" eb="8">
      <t>カカ</t>
    </rPh>
    <rPh sb="9" eb="11">
      <t>ホソク</t>
    </rPh>
    <phoneticPr fontId="1"/>
  </si>
  <si>
    <t>＜利息計算日＞</t>
    <rPh sb="1" eb="3">
      <t>リソク</t>
    </rPh>
    <rPh sb="3" eb="6">
      <t>ケイサンヒ</t>
    </rPh>
    <phoneticPr fontId="1"/>
  </si>
  <si>
    <t>＜初回の利息計算期間＞</t>
    <rPh sb="1" eb="3">
      <t>ショカイ</t>
    </rPh>
    <rPh sb="4" eb="6">
      <t>リソク</t>
    </rPh>
    <rPh sb="6" eb="8">
      <t>ケイサン</t>
    </rPh>
    <rPh sb="8" eb="10">
      <t>キカン</t>
    </rPh>
    <phoneticPr fontId="1"/>
  </si>
  <si>
    <t>融資実行日を含めて計算</t>
    <rPh sb="0" eb="5">
      <t>ユウシジッコウビ</t>
    </rPh>
    <rPh sb="6" eb="7">
      <t>フク</t>
    </rPh>
    <rPh sb="9" eb="11">
      <t>ケイサン</t>
    </rPh>
    <phoneticPr fontId="1"/>
  </si>
  <si>
    <t>融資実行日を含めず計算</t>
    <rPh sb="0" eb="5">
      <t>ユウシジッコウビ</t>
    </rPh>
    <rPh sb="6" eb="7">
      <t>フク</t>
    </rPh>
    <rPh sb="9" eb="11">
      <t>ケイサン</t>
    </rPh>
    <phoneticPr fontId="1"/>
  </si>
  <si>
    <t>＜事業者への利子補給方法＞</t>
    <rPh sb="1" eb="4">
      <t>ジギョウシャ</t>
    </rPh>
    <rPh sb="6" eb="8">
      <t>リシ</t>
    </rPh>
    <rPh sb="8" eb="10">
      <t>ホキュウ</t>
    </rPh>
    <rPh sb="10" eb="12">
      <t>ホウホウ</t>
    </rPh>
    <phoneticPr fontId="1"/>
  </si>
  <si>
    <t>利子補給率を差し引いた金利（貸付契約）により対応</t>
    <rPh sb="0" eb="5">
      <t>リシホキュウリツ</t>
    </rPh>
    <rPh sb="6" eb="7">
      <t>サ</t>
    </rPh>
    <rPh sb="8" eb="9">
      <t>ヒ</t>
    </rPh>
    <rPh sb="11" eb="13">
      <t>キンリ</t>
    </rPh>
    <rPh sb="14" eb="16">
      <t>カシツ</t>
    </rPh>
    <rPh sb="16" eb="18">
      <t>ケイヤク</t>
    </rPh>
    <rPh sb="22" eb="24">
      <t>タイオウ</t>
    </rPh>
    <phoneticPr fontId="1"/>
  </si>
  <si>
    <t>利子補給金相当額を支払い</t>
    <rPh sb="0" eb="5">
      <t>リシホキュウキン</t>
    </rPh>
    <rPh sb="5" eb="8">
      <t>ソウトウガク</t>
    </rPh>
    <rPh sb="9" eb="11">
      <t>シハラ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</si>
</sst>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;&quot;▲ &quot;#,##0.00"/>
    <numFmt numFmtId="177" formatCode="[$-411]ggge&quot;年&quot;m&quot;月&quot;d&quot;日&quot;;@"/>
    <numFmt numFmtId="178" formatCode="0.00;&quot;▲ &quot;0.00"/>
    <numFmt numFmtId="179" formatCode="#,##0.000;&quot;▲ &quot;#,##0.000"/>
    <numFmt numFmtId="180" formatCode="[$-411]ge\.m\.d;@"/>
    <numFmt numFmtId="181" formatCode="#,##0_);[Red]\(#,##0\)"/>
    <numFmt numFmtId="182" formatCode="#,##0.00;[Red]#,##0.00"/>
    <numFmt numFmtId="183" formatCode="0.000%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0.5"/>
      <color theme="1"/>
      <name val="HGP創英角ｺﾞｼｯｸUB"/>
      <family val="3"/>
      <charset val="128"/>
    </font>
    <font>
      <sz val="10.5"/>
      <color theme="0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8"/>
      <color rgb="FF000000"/>
      <name val="Lato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38" fontId="4" fillId="0" borderId="0" xfId="1" applyFont="1" applyBorder="1" applyAlignment="1">
      <alignment horizontal="center" vertical="center" shrinkToFit="1"/>
    </xf>
    <xf numFmtId="38" fontId="4" fillId="0" borderId="0" xfId="1" applyFont="1" applyBorder="1" applyAlignment="1">
      <alignment vertical="center" shrinkToFit="1"/>
    </xf>
    <xf numFmtId="38" fontId="4" fillId="0" borderId="0" xfId="1" applyFont="1">
      <alignment vertical="center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1" applyNumberFormat="1" applyFont="1" applyBorder="1" applyAlignment="1">
      <alignment horizontal="center" vertical="center" shrinkToFit="1"/>
    </xf>
    <xf numFmtId="178" fontId="4" fillId="0" borderId="0" xfId="0" applyNumberFormat="1" applyFont="1">
      <alignment vertical="center"/>
    </xf>
    <xf numFmtId="177" fontId="4" fillId="0" borderId="0" xfId="1" applyNumberFormat="1" applyFont="1" applyBorder="1" applyAlignment="1">
      <alignment vertical="center" shrinkToFit="1"/>
    </xf>
    <xf numFmtId="179" fontId="4" fillId="0" borderId="0" xfId="0" applyNumberFormat="1" applyFont="1">
      <alignment vertical="center"/>
    </xf>
    <xf numFmtId="179" fontId="4" fillId="0" borderId="0" xfId="0" applyNumberFormat="1" applyFont="1" applyAlignment="1">
      <alignment horizontal="left" vertical="center"/>
    </xf>
    <xf numFmtId="176" fontId="4" fillId="0" borderId="0" xfId="1" applyNumberFormat="1" applyFont="1">
      <alignment vertical="center"/>
    </xf>
    <xf numFmtId="176" fontId="4" fillId="0" borderId="0" xfId="1" applyNumberFormat="1" applyFont="1" applyBorder="1" applyAlignment="1">
      <alignment horizontal="left" vertical="center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 shrinkToFit="1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vertical="center" shrinkToFit="1"/>
    </xf>
    <xf numFmtId="38" fontId="4" fillId="0" borderId="0" xfId="1" applyFont="1" applyBorder="1" applyAlignment="1">
      <alignment horizontal="right" vertical="center" shrinkToFit="1"/>
    </xf>
    <xf numFmtId="38" fontId="4" fillId="0" borderId="0" xfId="1" applyFont="1" applyAlignment="1">
      <alignment horizontal="right" vertical="center" shrinkToFit="1"/>
    </xf>
    <xf numFmtId="178" fontId="4" fillId="0" borderId="0" xfId="0" applyNumberFormat="1" applyFont="1" applyAlignment="1">
      <alignment vertical="center" shrinkToFit="1"/>
    </xf>
    <xf numFmtId="179" fontId="4" fillId="0" borderId="0" xfId="0" applyNumberFormat="1" applyFont="1" applyAlignment="1">
      <alignment horizontal="right" vertical="center" shrinkToFit="1"/>
    </xf>
    <xf numFmtId="176" fontId="4" fillId="0" borderId="0" xfId="1" applyNumberFormat="1" applyFont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9" fillId="0" borderId="0" xfId="3">
      <alignment vertical="center"/>
    </xf>
    <xf numFmtId="180" fontId="9" fillId="0" borderId="0" xfId="3" applyNumberFormat="1">
      <alignment vertical="center"/>
    </xf>
    <xf numFmtId="57" fontId="9" fillId="0" borderId="0" xfId="3" applyNumberFormat="1">
      <alignment vertical="center"/>
    </xf>
    <xf numFmtId="38" fontId="9" fillId="0" borderId="0" xfId="3" applyNumberFormat="1">
      <alignment vertical="center"/>
    </xf>
    <xf numFmtId="181" fontId="9" fillId="0" borderId="0" xfId="3" applyNumberFormat="1">
      <alignment vertical="center"/>
    </xf>
    <xf numFmtId="177" fontId="9" fillId="0" borderId="0" xfId="3" applyNumberFormat="1">
      <alignment vertical="center"/>
    </xf>
    <xf numFmtId="0" fontId="9" fillId="0" borderId="2" xfId="3" applyBorder="1">
      <alignment vertical="center"/>
    </xf>
    <xf numFmtId="10" fontId="4" fillId="0" borderId="5" xfId="2" applyNumberFormat="1" applyFont="1" applyBorder="1" applyAlignment="1">
      <alignment vertical="center" shrinkToFit="1"/>
    </xf>
    <xf numFmtId="10" fontId="4" fillId="0" borderId="0" xfId="2" applyNumberFormat="1" applyFont="1" applyBorder="1" applyAlignment="1">
      <alignment vertical="center" shrinkToFit="1"/>
    </xf>
    <xf numFmtId="38" fontId="4" fillId="0" borderId="2" xfId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right" vertical="center" shrinkToFit="1"/>
    </xf>
    <xf numFmtId="38" fontId="4" fillId="0" borderId="5" xfId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right" vertical="center" shrinkToFit="1"/>
    </xf>
    <xf numFmtId="10" fontId="4" fillId="0" borderId="8" xfId="2" applyNumberFormat="1" applyFont="1" applyBorder="1" applyAlignment="1">
      <alignment vertical="center" shrinkToFit="1"/>
    </xf>
    <xf numFmtId="177" fontId="4" fillId="0" borderId="8" xfId="1" applyNumberFormat="1" applyFont="1" applyBorder="1" applyAlignment="1">
      <alignment horizontal="center" vertical="center" shrinkToFit="1"/>
    </xf>
    <xf numFmtId="40" fontId="4" fillId="0" borderId="0" xfId="0" applyNumberFormat="1" applyFont="1" applyAlignment="1">
      <alignment horizontal="center" vertical="center" shrinkToFit="1"/>
    </xf>
    <xf numFmtId="40" fontId="4" fillId="0" borderId="5" xfId="0" applyNumberFormat="1" applyFont="1" applyBorder="1" applyAlignment="1">
      <alignment horizontal="center" vertical="center" shrinkToFit="1"/>
    </xf>
    <xf numFmtId="10" fontId="4" fillId="0" borderId="13" xfId="2" applyNumberFormat="1" applyFont="1" applyBorder="1" applyAlignment="1">
      <alignment vertical="center" shrinkToFit="1"/>
    </xf>
    <xf numFmtId="38" fontId="4" fillId="0" borderId="15" xfId="1" applyFont="1" applyBorder="1" applyAlignment="1">
      <alignment horizontal="center" vertical="center" shrinkToFit="1"/>
    </xf>
    <xf numFmtId="38" fontId="4" fillId="0" borderId="16" xfId="1" applyFont="1" applyBorder="1" applyAlignment="1">
      <alignment horizontal="left" vertical="center" shrinkToFit="1"/>
    </xf>
    <xf numFmtId="38" fontId="4" fillId="0" borderId="17" xfId="1" applyFont="1" applyBorder="1" applyAlignment="1">
      <alignment horizontal="center" vertical="center" shrinkToFit="1"/>
    </xf>
    <xf numFmtId="179" fontId="4" fillId="0" borderId="16" xfId="0" applyNumberFormat="1" applyFont="1" applyBorder="1" applyAlignment="1">
      <alignment horizontal="right" vertical="center" shrinkToFit="1"/>
    </xf>
    <xf numFmtId="182" fontId="4" fillId="0" borderId="17" xfId="0" applyNumberFormat="1" applyFont="1" applyBorder="1" applyAlignment="1">
      <alignment horizontal="right" vertical="center" shrinkToFit="1"/>
    </xf>
    <xf numFmtId="38" fontId="6" fillId="5" borderId="14" xfId="1" applyFont="1" applyFill="1" applyBorder="1" applyAlignment="1">
      <alignment horizontal="center" vertical="center" shrinkToFit="1"/>
    </xf>
    <xf numFmtId="177" fontId="4" fillId="0" borderId="13" xfId="0" applyNumberFormat="1" applyFont="1" applyBorder="1" applyAlignment="1">
      <alignment horizontal="center" vertical="center" shrinkToFit="1"/>
    </xf>
    <xf numFmtId="177" fontId="4" fillId="0" borderId="26" xfId="0" applyNumberFormat="1" applyFont="1" applyBorder="1" applyAlignment="1">
      <alignment horizontal="center" vertical="center" shrinkToFit="1"/>
    </xf>
    <xf numFmtId="177" fontId="4" fillId="0" borderId="28" xfId="0" applyNumberFormat="1" applyFont="1" applyBorder="1" applyAlignment="1">
      <alignment horizontal="center" vertical="center" shrinkToFit="1"/>
    </xf>
    <xf numFmtId="177" fontId="4" fillId="0" borderId="30" xfId="0" applyNumberFormat="1" applyFont="1" applyBorder="1" applyAlignment="1">
      <alignment horizontal="center" vertical="center" shrinkToFit="1"/>
    </xf>
    <xf numFmtId="40" fontId="4" fillId="0" borderId="31" xfId="0" applyNumberFormat="1" applyFont="1" applyBorder="1" applyAlignment="1">
      <alignment horizontal="center" vertical="center" shrinkToFit="1"/>
    </xf>
    <xf numFmtId="177" fontId="4" fillId="0" borderId="31" xfId="1" applyNumberFormat="1" applyFont="1" applyBorder="1" applyAlignment="1">
      <alignment horizontal="center" vertical="center" shrinkToFit="1"/>
    </xf>
    <xf numFmtId="38" fontId="4" fillId="0" borderId="31" xfId="1" applyFont="1" applyBorder="1" applyAlignment="1">
      <alignment horizontal="center" vertical="center" shrinkToFit="1"/>
    </xf>
    <xf numFmtId="10" fontId="4" fillId="0" borderId="31" xfId="2" applyNumberFormat="1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38" fontId="4" fillId="0" borderId="31" xfId="1" applyFont="1" applyBorder="1" applyAlignment="1">
      <alignment horizontal="right" vertical="center" shrinkToFit="1"/>
    </xf>
    <xf numFmtId="177" fontId="4" fillId="0" borderId="27" xfId="0" applyNumberFormat="1" applyFont="1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center" vertical="center" shrinkToFit="1"/>
    </xf>
    <xf numFmtId="38" fontId="6" fillId="5" borderId="21" xfId="1" applyFont="1" applyFill="1" applyBorder="1" applyAlignment="1">
      <alignment horizontal="center" vertical="center" wrapText="1"/>
    </xf>
    <xf numFmtId="38" fontId="4" fillId="0" borderId="42" xfId="1" applyFont="1" applyBorder="1" applyAlignment="1">
      <alignment horizontal="center" vertical="center" shrinkToFit="1"/>
    </xf>
    <xf numFmtId="38" fontId="4" fillId="0" borderId="43" xfId="1" applyFont="1" applyBorder="1" applyAlignment="1">
      <alignment horizontal="center" vertical="center" shrinkToFit="1"/>
    </xf>
    <xf numFmtId="40" fontId="4" fillId="0" borderId="15" xfId="1" applyNumberFormat="1" applyFont="1" applyBorder="1" applyAlignment="1">
      <alignment horizontal="right" vertical="center" shrinkToFit="1"/>
    </xf>
    <xf numFmtId="179" fontId="4" fillId="0" borderId="16" xfId="1" applyNumberFormat="1" applyFont="1" applyBorder="1" applyAlignment="1">
      <alignment horizontal="right" vertical="center" shrinkToFit="1"/>
    </xf>
    <xf numFmtId="182" fontId="4" fillId="0" borderId="43" xfId="0" applyNumberFormat="1" applyFont="1" applyBorder="1" applyAlignment="1">
      <alignment horizontal="right" vertical="center" shrinkToFit="1"/>
    </xf>
    <xf numFmtId="176" fontId="4" fillId="0" borderId="42" xfId="1" applyNumberFormat="1" applyFont="1" applyBorder="1" applyAlignment="1">
      <alignment horizontal="right" vertical="center" shrinkToFit="1"/>
    </xf>
    <xf numFmtId="176" fontId="4" fillId="0" borderId="16" xfId="1" applyNumberFormat="1" applyFont="1" applyBorder="1" applyAlignment="1">
      <alignment horizontal="right"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6" fontId="4" fillId="0" borderId="15" xfId="1" applyNumberFormat="1" applyFont="1" applyBorder="1" applyAlignment="1">
      <alignment horizontal="right" vertical="center" shrinkToFit="1"/>
    </xf>
    <xf numFmtId="176" fontId="4" fillId="0" borderId="43" xfId="1" applyNumberFormat="1" applyFont="1" applyBorder="1" applyAlignment="1">
      <alignment horizontal="right" vertical="center" shrinkToFit="1"/>
    </xf>
    <xf numFmtId="40" fontId="4" fillId="0" borderId="16" xfId="1" applyNumberFormat="1" applyFont="1" applyBorder="1" applyAlignment="1">
      <alignment horizontal="right" vertical="center" shrinkToFit="1"/>
    </xf>
    <xf numFmtId="40" fontId="4" fillId="0" borderId="17" xfId="1" applyNumberFormat="1" applyFont="1" applyBorder="1" applyAlignment="1">
      <alignment horizontal="right" vertical="center" shrinkToFit="1"/>
    </xf>
    <xf numFmtId="38" fontId="5" fillId="4" borderId="1" xfId="1" applyFont="1" applyFill="1" applyBorder="1" applyAlignment="1">
      <alignment horizontal="center" vertical="center" shrinkToFit="1"/>
    </xf>
    <xf numFmtId="38" fontId="5" fillId="4" borderId="44" xfId="1" applyFont="1" applyFill="1" applyBorder="1" applyAlignment="1">
      <alignment horizontal="center" vertical="center" wrapText="1"/>
    </xf>
    <xf numFmtId="178" fontId="5" fillId="3" borderId="45" xfId="0" applyNumberFormat="1" applyFont="1" applyFill="1" applyBorder="1" applyAlignment="1">
      <alignment horizontal="center" vertical="center" wrapText="1"/>
    </xf>
    <xf numFmtId="38" fontId="5" fillId="3" borderId="37" xfId="1" applyFont="1" applyFill="1" applyBorder="1" applyAlignment="1">
      <alignment horizontal="center" vertical="center" wrapText="1"/>
    </xf>
    <xf numFmtId="176" fontId="5" fillId="3" borderId="46" xfId="1" applyNumberFormat="1" applyFont="1" applyFill="1" applyBorder="1" applyAlignment="1">
      <alignment horizontal="center" vertical="center" wrapText="1"/>
    </xf>
    <xf numFmtId="38" fontId="5" fillId="3" borderId="39" xfId="1" applyFont="1" applyFill="1" applyBorder="1" applyAlignment="1">
      <alignment horizontal="center" vertical="center" wrapText="1"/>
    </xf>
    <xf numFmtId="38" fontId="5" fillId="3" borderId="46" xfId="1" applyFont="1" applyFill="1" applyBorder="1" applyAlignment="1">
      <alignment horizontal="center" vertical="center" wrapText="1"/>
    </xf>
    <xf numFmtId="38" fontId="5" fillId="2" borderId="37" xfId="1" applyFont="1" applyFill="1" applyBorder="1" applyAlignment="1">
      <alignment horizontal="center" vertical="center" wrapText="1"/>
    </xf>
    <xf numFmtId="38" fontId="5" fillId="2" borderId="46" xfId="1" applyFont="1" applyFill="1" applyBorder="1" applyAlignment="1">
      <alignment horizontal="center" vertical="center" wrapText="1"/>
    </xf>
    <xf numFmtId="178" fontId="5" fillId="2" borderId="46" xfId="0" applyNumberFormat="1" applyFont="1" applyFill="1" applyBorder="1" applyAlignment="1">
      <alignment horizontal="center" vertical="center" wrapText="1"/>
    </xf>
    <xf numFmtId="179" fontId="5" fillId="2" borderId="46" xfId="0" applyNumberFormat="1" applyFont="1" applyFill="1" applyBorder="1" applyAlignment="1">
      <alignment horizontal="center" vertical="center" wrapText="1"/>
    </xf>
    <xf numFmtId="177" fontId="4" fillId="0" borderId="32" xfId="0" applyNumberFormat="1" applyFont="1" applyBorder="1" applyAlignment="1">
      <alignment horizontal="center" vertical="center" shrinkToFit="1"/>
    </xf>
    <xf numFmtId="38" fontId="11" fillId="0" borderId="12" xfId="1" applyFont="1" applyBorder="1" applyAlignment="1">
      <alignment horizontal="right" vertical="center" shrinkToFit="1"/>
    </xf>
    <xf numFmtId="0" fontId="9" fillId="0" borderId="33" xfId="3" applyBorder="1">
      <alignment vertical="center"/>
    </xf>
    <xf numFmtId="177" fontId="9" fillId="0" borderId="34" xfId="3" applyNumberFormat="1" applyBorder="1">
      <alignment vertical="center"/>
    </xf>
    <xf numFmtId="0" fontId="9" fillId="0" borderId="34" xfId="3" applyBorder="1">
      <alignment vertical="center"/>
    </xf>
    <xf numFmtId="0" fontId="9" fillId="0" borderId="35" xfId="3" applyBorder="1">
      <alignment vertical="center"/>
    </xf>
    <xf numFmtId="0" fontId="9" fillId="0" borderId="26" xfId="3" applyBorder="1">
      <alignment vertical="center"/>
    </xf>
    <xf numFmtId="177" fontId="9" fillId="0" borderId="0" xfId="3" applyNumberFormat="1" applyBorder="1">
      <alignment vertical="center"/>
    </xf>
    <xf numFmtId="0" fontId="9" fillId="0" borderId="0" xfId="3" applyBorder="1">
      <alignment vertical="center"/>
    </xf>
    <xf numFmtId="0" fontId="9" fillId="0" borderId="27" xfId="3" applyBorder="1">
      <alignment vertical="center"/>
    </xf>
    <xf numFmtId="0" fontId="9" fillId="0" borderId="30" xfId="3" applyBorder="1">
      <alignment vertical="center"/>
    </xf>
    <xf numFmtId="0" fontId="9" fillId="0" borderId="31" xfId="3" applyBorder="1">
      <alignment vertical="center"/>
    </xf>
    <xf numFmtId="0" fontId="9" fillId="0" borderId="32" xfId="3" applyBorder="1">
      <alignment vertical="center"/>
    </xf>
    <xf numFmtId="177" fontId="9" fillId="7" borderId="12" xfId="3" applyNumberFormat="1" applyFill="1" applyBorder="1">
      <alignment vertical="center"/>
    </xf>
    <xf numFmtId="177" fontId="9" fillId="0" borderId="0" xfId="3" applyNumberFormat="1" applyFill="1" applyBorder="1">
      <alignment vertical="center"/>
    </xf>
    <xf numFmtId="0" fontId="9" fillId="8" borderId="0" xfId="3" applyFill="1" applyBorder="1">
      <alignment vertical="center"/>
    </xf>
    <xf numFmtId="177" fontId="9" fillId="8" borderId="0" xfId="3" applyNumberFormat="1" applyFill="1" applyBorder="1">
      <alignment vertical="center"/>
    </xf>
    <xf numFmtId="177" fontId="9" fillId="0" borderId="12" xfId="3" applyNumberFormat="1" applyFill="1" applyBorder="1">
      <alignment vertical="center"/>
    </xf>
    <xf numFmtId="0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 indent="2"/>
    </xf>
    <xf numFmtId="0" fontId="4" fillId="0" borderId="0" xfId="0" applyFont="1" applyAlignment="1">
      <alignment horizontal="left" vertical="center" indent="3"/>
    </xf>
    <xf numFmtId="38" fontId="4" fillId="0" borderId="3" xfId="1" applyFont="1" applyFill="1" applyBorder="1" applyAlignment="1" applyProtection="1">
      <alignment horizontal="center" vertical="center"/>
      <protection locked="0"/>
    </xf>
    <xf numFmtId="183" fontId="4" fillId="0" borderId="4" xfId="2" applyNumberFormat="1" applyFont="1" applyFill="1" applyBorder="1" applyAlignment="1" applyProtection="1">
      <alignment horizontal="right" vertical="center" shrinkToFit="1"/>
      <protection locked="0"/>
    </xf>
    <xf numFmtId="183" fontId="4" fillId="0" borderId="10" xfId="2" applyNumberFormat="1" applyFont="1" applyFill="1" applyBorder="1" applyAlignment="1" applyProtection="1">
      <alignment horizontal="right" vertical="center" shrinkToFit="1"/>
      <protection locked="0"/>
    </xf>
    <xf numFmtId="183" fontId="4" fillId="0" borderId="7" xfId="2" applyNumberFormat="1" applyFont="1" applyFill="1" applyBorder="1" applyAlignment="1" applyProtection="1">
      <alignment horizontal="right" vertical="center" shrinkToFit="1"/>
      <protection locked="0"/>
    </xf>
    <xf numFmtId="177" fontId="4" fillId="0" borderId="27" xfId="0" applyNumberFormat="1" applyFont="1" applyBorder="1" applyAlignment="1" applyProtection="1">
      <alignment horizontal="center" vertical="center" shrinkToFit="1"/>
      <protection locked="0"/>
    </xf>
    <xf numFmtId="177" fontId="4" fillId="6" borderId="38" xfId="0" applyNumberFormat="1" applyFont="1" applyFill="1" applyBorder="1" applyAlignment="1" applyProtection="1">
      <alignment horizontal="center" vertical="center" shrinkToFit="1"/>
      <protection locked="0"/>
    </xf>
    <xf numFmtId="177" fontId="4" fillId="6" borderId="12" xfId="0" applyNumberFormat="1" applyFont="1" applyFill="1" applyBorder="1" applyAlignment="1" applyProtection="1">
      <alignment horizontal="center" vertical="center" shrinkToFit="1"/>
      <protection locked="0"/>
    </xf>
    <xf numFmtId="38" fontId="4" fillId="6" borderId="38" xfId="1" applyFont="1" applyFill="1" applyBorder="1" applyAlignment="1" applyProtection="1">
      <alignment horizontal="right" vertical="center" shrinkToFit="1"/>
      <protection locked="0"/>
    </xf>
    <xf numFmtId="38" fontId="4" fillId="6" borderId="12" xfId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</xf>
    <xf numFmtId="176" fontId="4" fillId="0" borderId="48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76" fontId="4" fillId="0" borderId="50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 applyProtection="1">
      <alignment horizontal="center" vertical="center"/>
      <protection locked="0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38" fontId="4" fillId="0" borderId="48" xfId="1" applyFont="1" applyBorder="1" applyAlignment="1">
      <alignment horizontal="center" vertical="center"/>
    </xf>
    <xf numFmtId="38" fontId="4" fillId="0" borderId="50" xfId="1" applyFont="1" applyBorder="1" applyAlignment="1">
      <alignment horizontal="center" vertical="center"/>
    </xf>
    <xf numFmtId="177" fontId="11" fillId="0" borderId="48" xfId="0" applyNumberFormat="1" applyFont="1" applyBorder="1" applyAlignment="1">
      <alignment horizontal="center" vertical="center" shrinkToFit="1"/>
    </xf>
    <xf numFmtId="177" fontId="11" fillId="0" borderId="49" xfId="0" applyNumberFormat="1" applyFont="1" applyBorder="1" applyAlignment="1">
      <alignment horizontal="center" vertical="center" shrinkToFit="1"/>
    </xf>
    <xf numFmtId="177" fontId="11" fillId="0" borderId="50" xfId="0" applyNumberFormat="1" applyFont="1" applyBorder="1" applyAlignment="1">
      <alignment horizontal="center" vertical="center" shrinkToFit="1"/>
    </xf>
    <xf numFmtId="10" fontId="4" fillId="0" borderId="15" xfId="2" applyNumberFormat="1" applyFont="1" applyBorder="1" applyAlignment="1">
      <alignment horizontal="right" vertical="center" shrinkToFit="1"/>
    </xf>
    <xf numFmtId="10" fontId="4" fillId="0" borderId="16" xfId="2" applyNumberFormat="1" applyFont="1" applyBorder="1" applyAlignment="1">
      <alignment horizontal="right" vertical="center" shrinkToFit="1"/>
    </xf>
    <xf numFmtId="10" fontId="4" fillId="0" borderId="43" xfId="2" applyNumberFormat="1" applyFont="1" applyBorder="1" applyAlignment="1">
      <alignment horizontal="right" vertical="center" shrinkToFit="1"/>
    </xf>
    <xf numFmtId="38" fontId="4" fillId="0" borderId="25" xfId="1" applyFont="1" applyBorder="1" applyAlignment="1">
      <alignment horizontal="right" vertical="center" shrinkToFit="1"/>
    </xf>
    <xf numFmtId="38" fontId="4" fillId="0" borderId="27" xfId="1" applyFont="1" applyBorder="1" applyAlignment="1">
      <alignment horizontal="right" vertical="center" shrinkToFit="1"/>
    </xf>
    <xf numFmtId="38" fontId="4" fillId="0" borderId="32" xfId="1" applyFont="1" applyBorder="1" applyAlignment="1">
      <alignment horizontal="right" vertical="center" shrinkToFit="1"/>
    </xf>
    <xf numFmtId="38" fontId="4" fillId="0" borderId="18" xfId="1" applyFont="1" applyBorder="1" applyAlignment="1">
      <alignment horizontal="right" vertical="center" shrinkToFit="1"/>
    </xf>
    <xf numFmtId="38" fontId="4" fillId="0" borderId="19" xfId="1" applyFont="1" applyBorder="1" applyAlignment="1">
      <alignment horizontal="right" vertical="center" shrinkToFit="1"/>
    </xf>
    <xf numFmtId="10" fontId="4" fillId="0" borderId="17" xfId="2" applyNumberFormat="1" applyFont="1" applyBorder="1" applyAlignment="1">
      <alignment horizontal="right" vertical="center" shrinkToFit="1"/>
    </xf>
    <xf numFmtId="38" fontId="4" fillId="0" borderId="29" xfId="1" applyFont="1" applyBorder="1" applyAlignment="1">
      <alignment horizontal="right" vertical="center" shrinkToFit="1"/>
    </xf>
    <xf numFmtId="38" fontId="4" fillId="0" borderId="20" xfId="1" applyFont="1" applyBorder="1" applyAlignment="1">
      <alignment horizontal="right" vertical="center" shrinkToFit="1"/>
    </xf>
    <xf numFmtId="38" fontId="4" fillId="0" borderId="6" xfId="1" applyFont="1" applyBorder="1" applyAlignment="1">
      <alignment horizontal="right" vertical="center" shrinkToFit="1"/>
    </xf>
    <xf numFmtId="38" fontId="4" fillId="0" borderId="11" xfId="1" applyFont="1" applyBorder="1" applyAlignment="1">
      <alignment horizontal="right" vertical="center" shrinkToFit="1"/>
    </xf>
    <xf numFmtId="38" fontId="4" fillId="0" borderId="9" xfId="1" applyFont="1" applyBorder="1" applyAlignment="1">
      <alignment horizontal="right" vertical="center" shrinkToFit="1"/>
    </xf>
    <xf numFmtId="177" fontId="4" fillId="0" borderId="2" xfId="1" applyNumberFormat="1" applyFont="1" applyFill="1" applyBorder="1" applyAlignment="1" applyProtection="1">
      <alignment horizontal="center" vertical="center" shrinkToFit="1"/>
      <protection locked="0"/>
    </xf>
    <xf numFmtId="10" fontId="4" fillId="0" borderId="42" xfId="2" applyNumberFormat="1" applyFont="1" applyBorder="1" applyAlignment="1">
      <alignment horizontal="right" vertical="center" shrinkToFit="1"/>
    </xf>
    <xf numFmtId="38" fontId="4" fillId="0" borderId="2" xfId="1" applyFont="1" applyFill="1" applyBorder="1" applyAlignment="1" applyProtection="1">
      <alignment horizontal="center" vertical="center" shrinkToFit="1"/>
      <protection locked="0"/>
    </xf>
    <xf numFmtId="38" fontId="4" fillId="0" borderId="30" xfId="1" applyFont="1" applyFill="1" applyBorder="1" applyAlignment="1" applyProtection="1">
      <alignment horizontal="center" vertical="center"/>
      <protection locked="0"/>
    </xf>
    <xf numFmtId="38" fontId="4" fillId="0" borderId="32" xfId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3" borderId="22" xfId="0" applyNumberFormat="1" applyFont="1" applyFill="1" applyBorder="1" applyAlignment="1">
      <alignment horizontal="center" vertical="center"/>
    </xf>
    <xf numFmtId="177" fontId="5" fillId="3" borderId="23" xfId="0" applyNumberFormat="1" applyFont="1" applyFill="1" applyBorder="1" applyAlignment="1">
      <alignment horizontal="center" vertical="center"/>
    </xf>
    <xf numFmtId="177" fontId="5" fillId="3" borderId="24" xfId="0" applyNumberFormat="1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 wrapText="1"/>
    </xf>
    <xf numFmtId="183" fontId="4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83" fontId="4" fillId="0" borderId="2" xfId="2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177" fontId="5" fillId="2" borderId="34" xfId="0" applyNumberFormat="1" applyFont="1" applyFill="1" applyBorder="1" applyAlignment="1">
      <alignment horizontal="center" vertical="center"/>
    </xf>
    <xf numFmtId="177" fontId="5" fillId="2" borderId="3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 applyProtection="1">
      <alignment horizontal="center" vertical="center" shrinkToFit="1"/>
      <protection locked="0"/>
    </xf>
  </cellXfs>
  <cellStyles count="4">
    <cellStyle name="パーセント" xfId="2" builtinId="5"/>
    <cellStyle name="桁区切り" xfId="1" builtinId="6"/>
    <cellStyle name="標準" xfId="0" builtinId="0"/>
    <cellStyle name="標準 2" xfId="3" xr:uid="{449EB458-DA0B-4035-B8D7-73B46B582F24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CCFF"/>
      <color rgb="FF00FFFF"/>
      <color rgb="FF006600"/>
      <color rgb="FFFFCCCC"/>
      <color rgb="FFFFFFCC"/>
      <color rgb="FFCCFFFF"/>
      <color rgb="FFCCFFCC"/>
      <color rgb="FFFFCCFF"/>
      <color rgb="FF99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215900</xdr:rowOff>
        </xdr:from>
        <xdr:to>
          <xdr:col>3</xdr:col>
          <xdr:colOff>63500</xdr:colOff>
          <xdr:row>93</xdr:row>
          <xdr:rowOff>6350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94</xdr:row>
          <xdr:rowOff>215900</xdr:rowOff>
        </xdr:from>
        <xdr:to>
          <xdr:col>3</xdr:col>
          <xdr:colOff>63500</xdr:colOff>
          <xdr:row>96</xdr:row>
          <xdr:rowOff>6350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215900</xdr:rowOff>
        </xdr:from>
        <xdr:to>
          <xdr:col>3</xdr:col>
          <xdr:colOff>63500</xdr:colOff>
          <xdr:row>99</xdr:row>
          <xdr:rowOff>6350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215900</xdr:rowOff>
        </xdr:from>
        <xdr:to>
          <xdr:col>3</xdr:col>
          <xdr:colOff>63500</xdr:colOff>
          <xdr:row>92</xdr:row>
          <xdr:rowOff>6350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215900</xdr:rowOff>
        </xdr:from>
        <xdr:to>
          <xdr:col>3</xdr:col>
          <xdr:colOff>63500</xdr:colOff>
          <xdr:row>95</xdr:row>
          <xdr:rowOff>6350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96</xdr:row>
          <xdr:rowOff>215900</xdr:rowOff>
        </xdr:from>
        <xdr:to>
          <xdr:col>3</xdr:col>
          <xdr:colOff>63500</xdr:colOff>
          <xdr:row>98</xdr:row>
          <xdr:rowOff>6350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267912</xdr:colOff>
      <xdr:row>0</xdr:row>
      <xdr:rowOff>57151</xdr:rowOff>
    </xdr:from>
    <xdr:to>
      <xdr:col>5</xdr:col>
      <xdr:colOff>401262</xdr:colOff>
      <xdr:row>0</xdr:row>
      <xdr:rowOff>533401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492DD-9C3F-40DD-B885-8FC22DDFB136}"/>
            </a:ext>
          </a:extLst>
        </xdr:cNvPr>
        <xdr:cNvSpPr txBox="1"/>
      </xdr:nvSpPr>
      <xdr:spPr>
        <a:xfrm>
          <a:off x="267912" y="57151"/>
          <a:ext cx="3409950" cy="476250"/>
        </a:xfrm>
        <a:prstGeom prst="rect">
          <a:avLst/>
        </a:prstGeom>
        <a:solidFill>
          <a:srgbClr val="FF00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このシートは編集しないでください。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9066-3EEA-4F61-915B-B3455E85C649}">
  <sheetPr transitionEvaluation="1">
    <tabColor rgb="FF006600"/>
  </sheetPr>
  <dimension ref="A1:Y101"/>
  <sheetViews>
    <sheetView tabSelected="1" zoomScale="80" zoomScaleNormal="80" zoomScaleSheetLayoutView="80" workbookViewId="0">
      <selection activeCell="B6" sqref="B6:D6"/>
    </sheetView>
  </sheetViews>
  <sheetFormatPr defaultColWidth="3" defaultRowHeight="18" customHeight="1" x14ac:dyDescent="0.55000000000000004"/>
  <cols>
    <col min="1" max="1" width="1.58203125" style="2" customWidth="1"/>
    <col min="2" max="2" width="12.58203125" style="10" customWidth="1"/>
    <col min="3" max="3" width="2.58203125" style="6" customWidth="1"/>
    <col min="4" max="4" width="12.58203125" style="10" customWidth="1"/>
    <col min="5" max="5" width="14.08203125" style="11" customWidth="1"/>
    <col min="6" max="6" width="2.58203125" style="5" customWidth="1"/>
    <col min="7" max="7" width="14.08203125" style="11" customWidth="1"/>
    <col min="8" max="8" width="5.58203125" style="9" customWidth="1"/>
    <col min="9" max="9" width="14.58203125" style="9" customWidth="1"/>
    <col min="10" max="10" width="8.58203125" style="13" customWidth="1"/>
    <col min="11" max="11" width="14.58203125" style="15" customWidth="1"/>
    <col min="12" max="12" width="14.58203125" style="9" customWidth="1"/>
    <col min="13" max="13" width="14.08203125" style="11" customWidth="1"/>
    <col min="14" max="14" width="2.58203125" style="5" customWidth="1"/>
    <col min="15" max="15" width="14.08203125" style="11" customWidth="1"/>
    <col min="16" max="16" width="5.58203125" style="9" customWidth="1"/>
    <col min="17" max="17" width="14.58203125" style="9" customWidth="1"/>
    <col min="18" max="18" width="8.58203125" style="13" customWidth="1"/>
    <col min="19" max="19" width="14.58203125" style="17" customWidth="1"/>
    <col min="20" max="21" width="14.58203125" style="9" customWidth="1"/>
    <col min="22" max="22" width="1.58203125" style="2" customWidth="1"/>
    <col min="23" max="23" width="8.58203125" style="21" customWidth="1"/>
    <col min="24" max="24" width="13.58203125" style="22" customWidth="1"/>
    <col min="25" max="25" width="13.58203125" style="23" customWidth="1"/>
    <col min="26" max="16384" width="3" style="2"/>
  </cols>
  <sheetData>
    <row r="1" spans="1:25" ht="18" customHeight="1" x14ac:dyDescent="0.55000000000000004">
      <c r="A1" s="1" t="s">
        <v>3</v>
      </c>
      <c r="G1" s="118"/>
      <c r="H1" s="118"/>
      <c r="I1" s="118"/>
      <c r="J1" s="118"/>
      <c r="K1" s="118"/>
      <c r="L1" s="118"/>
      <c r="M1" s="118"/>
    </row>
    <row r="2" spans="1:25" ht="10" customHeight="1" x14ac:dyDescent="0.55000000000000004"/>
    <row r="3" spans="1:25" ht="21" customHeight="1" x14ac:dyDescent="0.55000000000000004">
      <c r="A3" s="165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25" ht="12.65" customHeight="1" thickBot="1" x14ac:dyDescent="0.6">
      <c r="A4" s="3"/>
      <c r="H4" s="4"/>
      <c r="I4" s="4"/>
      <c r="K4" s="16"/>
      <c r="L4" s="4"/>
      <c r="P4" s="4"/>
      <c r="Q4" s="4"/>
      <c r="S4" s="18"/>
      <c r="T4" s="4"/>
    </row>
    <row r="5" spans="1:25" ht="18" customHeight="1" thickBot="1" x14ac:dyDescent="0.6">
      <c r="A5" s="3"/>
      <c r="B5" s="185" t="s">
        <v>5</v>
      </c>
      <c r="C5" s="185"/>
      <c r="D5" s="185"/>
      <c r="E5" s="31"/>
      <c r="F5" s="32" t="s">
        <v>6</v>
      </c>
      <c r="G5" s="31"/>
      <c r="H5" s="189" t="s">
        <v>7</v>
      </c>
      <c r="I5" s="189"/>
      <c r="J5" s="189" t="s">
        <v>8</v>
      </c>
      <c r="K5" s="189"/>
      <c r="L5" s="33" t="s">
        <v>9</v>
      </c>
      <c r="M5" s="166" t="s">
        <v>10</v>
      </c>
      <c r="N5" s="167"/>
      <c r="O5" s="167"/>
      <c r="P5" s="2"/>
      <c r="Q5" s="2"/>
      <c r="R5" s="2"/>
      <c r="S5" s="19"/>
      <c r="T5" s="140" t="s">
        <v>93</v>
      </c>
      <c r="U5" s="141"/>
      <c r="W5" s="134" t="s">
        <v>102</v>
      </c>
      <c r="X5" s="135"/>
      <c r="Y5" s="136"/>
    </row>
    <row r="6" spans="1:25" ht="30" customHeight="1" thickBot="1" x14ac:dyDescent="0.6">
      <c r="A6" s="3"/>
      <c r="B6" s="186"/>
      <c r="C6" s="186"/>
      <c r="D6" s="186"/>
      <c r="E6" s="190"/>
      <c r="F6" s="190"/>
      <c r="G6" s="190"/>
      <c r="H6" s="159"/>
      <c r="I6" s="159"/>
      <c r="J6" s="161"/>
      <c r="K6" s="161"/>
      <c r="L6" s="123"/>
      <c r="M6" s="176"/>
      <c r="N6" s="177"/>
      <c r="O6" s="177"/>
      <c r="P6" s="14"/>
      <c r="Q6" s="14"/>
      <c r="R6" s="8"/>
      <c r="S6" s="20"/>
      <c r="T6" s="162"/>
      <c r="U6" s="163"/>
      <c r="W6" s="137"/>
      <c r="X6" s="138"/>
      <c r="Y6" s="139"/>
    </row>
    <row r="7" spans="1:25" ht="18" customHeight="1" thickBot="1" x14ac:dyDescent="0.6">
      <c r="A7" s="3"/>
      <c r="H7" s="4"/>
      <c r="I7" s="4"/>
      <c r="K7" s="16"/>
      <c r="L7" s="4"/>
      <c r="P7" s="4"/>
      <c r="Q7" s="4"/>
      <c r="S7" s="18"/>
      <c r="T7" s="4"/>
      <c r="Y7" s="30" t="s">
        <v>11</v>
      </c>
    </row>
    <row r="8" spans="1:25" ht="18" customHeight="1" x14ac:dyDescent="0.55000000000000004">
      <c r="A8" s="3"/>
      <c r="B8" s="178" t="s">
        <v>1</v>
      </c>
      <c r="C8" s="179"/>
      <c r="D8" s="180"/>
      <c r="E8" s="187" t="s">
        <v>12</v>
      </c>
      <c r="F8" s="187"/>
      <c r="G8" s="187"/>
      <c r="H8" s="187"/>
      <c r="I8" s="187"/>
      <c r="J8" s="187"/>
      <c r="K8" s="187"/>
      <c r="L8" s="188"/>
      <c r="M8" s="168" t="s">
        <v>13</v>
      </c>
      <c r="N8" s="169"/>
      <c r="O8" s="169"/>
      <c r="P8" s="169"/>
      <c r="Q8" s="169"/>
      <c r="R8" s="169"/>
      <c r="S8" s="169"/>
      <c r="T8" s="170"/>
      <c r="U8" s="62" t="s">
        <v>14</v>
      </c>
      <c r="W8" s="175" t="s">
        <v>15</v>
      </c>
      <c r="X8" s="174" t="s">
        <v>16</v>
      </c>
      <c r="Y8" s="174"/>
    </row>
    <row r="9" spans="1:25" ht="60" customHeight="1" thickBot="1" x14ac:dyDescent="0.6">
      <c r="A9" s="3"/>
      <c r="B9" s="181"/>
      <c r="C9" s="182"/>
      <c r="D9" s="183"/>
      <c r="E9" s="184" t="s">
        <v>17</v>
      </c>
      <c r="F9" s="184"/>
      <c r="G9" s="184"/>
      <c r="H9" s="97" t="s">
        <v>18</v>
      </c>
      <c r="I9" s="97" t="s">
        <v>19</v>
      </c>
      <c r="J9" s="98" t="s">
        <v>20</v>
      </c>
      <c r="K9" s="99" t="s">
        <v>21</v>
      </c>
      <c r="L9" s="96" t="s">
        <v>22</v>
      </c>
      <c r="M9" s="171" t="s">
        <v>17</v>
      </c>
      <c r="N9" s="172"/>
      <c r="O9" s="173"/>
      <c r="P9" s="95" t="s">
        <v>23</v>
      </c>
      <c r="Q9" s="94" t="s">
        <v>24</v>
      </c>
      <c r="R9" s="91" t="s">
        <v>25</v>
      </c>
      <c r="S9" s="93" t="s">
        <v>26</v>
      </c>
      <c r="T9" s="92" t="s">
        <v>27</v>
      </c>
      <c r="U9" s="76" t="s">
        <v>28</v>
      </c>
      <c r="W9" s="175"/>
      <c r="X9" s="90" t="s">
        <v>29</v>
      </c>
      <c r="Y9" s="89" t="s">
        <v>30</v>
      </c>
    </row>
    <row r="10" spans="1:25" ht="18" customHeight="1" thickBot="1" x14ac:dyDescent="0.6">
      <c r="A10" s="3"/>
      <c r="B10" s="64" t="e">
        <f>EDATE(Sheet1!B9,-6)+1</f>
        <v>#VALUE!</v>
      </c>
      <c r="C10" s="6" t="s">
        <v>2</v>
      </c>
      <c r="D10" s="127"/>
      <c r="E10" s="10">
        <f>IF(Sheet1!$F$8,"",H6)</f>
        <v>0</v>
      </c>
      <c r="F10" s="6" t="str">
        <f>IF(Sheet1!$F$8,"","～")</f>
        <v>～</v>
      </c>
      <c r="G10" s="10">
        <f>IF(Sheet1!$F$8,"",E17-1)</f>
        <v>181</v>
      </c>
      <c r="H10" s="77">
        <f>IF(Sheet1!$F$8,"",G10-E10+1)</f>
        <v>182</v>
      </c>
      <c r="I10" s="24">
        <f>IF(Sheet1!$F$8,"",$J$6)</f>
        <v>0</v>
      </c>
      <c r="J10" s="160" t="e">
        <f>IF(B10,0.7%,"")</f>
        <v>#VALUE!</v>
      </c>
      <c r="K10" s="79" t="e">
        <f>IF(Sheet1!$F$8,"", ROUNDDOWN(I10*H10/365*J10,2))</f>
        <v>#VALUE!</v>
      </c>
      <c r="L10" s="149" t="e">
        <f>ROUNDDOWN(SUM(K10:K17),0)</f>
        <v>#VALUE!</v>
      </c>
      <c r="M10" s="64">
        <f>H6</f>
        <v>0</v>
      </c>
      <c r="N10" s="6" t="s">
        <v>2</v>
      </c>
      <c r="O10" s="128"/>
      <c r="P10" s="7">
        <f>IF(O10-M10+1&lt;0,0,O10-M10+1)</f>
        <v>1</v>
      </c>
      <c r="Q10" s="130"/>
      <c r="R10" s="42" t="e">
        <f>MIN(J10,W10)</f>
        <v>#VALUE!</v>
      </c>
      <c r="S10" s="82" t="e">
        <f>ROUNDDOWN(Q10*P10/365*R10,2)</f>
        <v>#VALUE!</v>
      </c>
      <c r="T10" s="149" t="e">
        <f>ROUNDDOWN(SUM(S10:S17),0)</f>
        <v>#VALUE!</v>
      </c>
      <c r="U10" s="152" t="e">
        <f>MIN(L10,T10)</f>
        <v>#VALUE!</v>
      </c>
      <c r="W10" s="124"/>
      <c r="X10" s="79">
        <f>ROUNDDOWN(Q10*P10/365*W10,2)</f>
        <v>0</v>
      </c>
      <c r="Y10" s="156">
        <f>ROUNDDOWN(SUM(X10:X17),0)</f>
        <v>0</v>
      </c>
    </row>
    <row r="11" spans="1:25" ht="18" customHeight="1" thickBot="1" x14ac:dyDescent="0.6">
      <c r="A11" s="3"/>
      <c r="B11" s="64"/>
      <c r="D11" s="73"/>
      <c r="E11" s="10"/>
      <c r="F11" s="6"/>
      <c r="G11" s="10"/>
      <c r="H11" s="58"/>
      <c r="I11" s="24"/>
      <c r="J11" s="146"/>
      <c r="K11" s="60"/>
      <c r="L11" s="149"/>
      <c r="M11" s="64">
        <f>IF(ISBLANK(O10),M10,O10+1)</f>
        <v>0</v>
      </c>
      <c r="N11" s="6" t="s">
        <v>2</v>
      </c>
      <c r="O11" s="129"/>
      <c r="P11" s="7">
        <f t="shared" ref="P11:P24" si="0">IF(O11-M11+1&lt;0,0,O11-M11+1)</f>
        <v>1</v>
      </c>
      <c r="Q11" s="131"/>
      <c r="R11" s="42" t="e">
        <f>MIN(J10,W11)</f>
        <v>#VALUE!</v>
      </c>
      <c r="S11" s="83" t="e">
        <f>ROUNDDOWN(Q11*P11/365*R11,2)</f>
        <v>#VALUE!</v>
      </c>
      <c r="T11" s="149"/>
      <c r="U11" s="152"/>
      <c r="W11" s="125"/>
      <c r="X11" s="87">
        <f>ROUNDDOWN(Q11*P11/365*W11,2)</f>
        <v>0</v>
      </c>
      <c r="Y11" s="157"/>
    </row>
    <row r="12" spans="1:25" ht="18" customHeight="1" thickBot="1" x14ac:dyDescent="0.6">
      <c r="A12" s="3"/>
      <c r="B12" s="64"/>
      <c r="D12" s="73"/>
      <c r="E12" s="10"/>
      <c r="F12" s="6"/>
      <c r="G12" s="10"/>
      <c r="H12" s="58"/>
      <c r="I12" s="24"/>
      <c r="J12" s="146"/>
      <c r="K12" s="60"/>
      <c r="L12" s="149"/>
      <c r="M12" s="64">
        <f t="shared" ref="M12:M15" si="1">IF(ISBLANK(O11),M11,O11+1)</f>
        <v>0</v>
      </c>
      <c r="N12" s="6" t="s">
        <v>2</v>
      </c>
      <c r="O12" s="129"/>
      <c r="P12" s="7">
        <f t="shared" si="0"/>
        <v>1</v>
      </c>
      <c r="Q12" s="131"/>
      <c r="R12" s="42" t="e">
        <f>MIN(J10,W12)</f>
        <v>#VALUE!</v>
      </c>
      <c r="S12" s="83" t="e">
        <f t="shared" ref="S12:S16" si="2">ROUNDDOWN(Q12*P12/365*R12,2)</f>
        <v>#VALUE!</v>
      </c>
      <c r="T12" s="149"/>
      <c r="U12" s="152"/>
      <c r="W12" s="125"/>
      <c r="X12" s="87">
        <f t="shared" ref="X12:X17" si="3">ROUNDDOWN(Q12*P12/365*W12,2)</f>
        <v>0</v>
      </c>
      <c r="Y12" s="157"/>
    </row>
    <row r="13" spans="1:25" ht="18" customHeight="1" thickBot="1" x14ac:dyDescent="0.6">
      <c r="A13" s="3"/>
      <c r="B13" s="64"/>
      <c r="D13" s="73"/>
      <c r="E13" s="10"/>
      <c r="F13" s="6"/>
      <c r="G13" s="10"/>
      <c r="H13" s="58"/>
      <c r="I13" s="24"/>
      <c r="J13" s="146"/>
      <c r="K13" s="60"/>
      <c r="L13" s="149"/>
      <c r="M13" s="64">
        <f t="shared" si="1"/>
        <v>0</v>
      </c>
      <c r="N13" s="6" t="s">
        <v>2</v>
      </c>
      <c r="O13" s="129"/>
      <c r="P13" s="7">
        <f t="shared" si="0"/>
        <v>1</v>
      </c>
      <c r="Q13" s="131"/>
      <c r="R13" s="42" t="e">
        <f>MIN(J10,W13)</f>
        <v>#VALUE!</v>
      </c>
      <c r="S13" s="83" t="e">
        <f t="shared" si="2"/>
        <v>#VALUE!</v>
      </c>
      <c r="T13" s="149"/>
      <c r="U13" s="152"/>
      <c r="W13" s="125"/>
      <c r="X13" s="87">
        <f t="shared" si="3"/>
        <v>0</v>
      </c>
      <c r="Y13" s="157"/>
    </row>
    <row r="14" spans="1:25" ht="18" customHeight="1" thickBot="1" x14ac:dyDescent="0.6">
      <c r="A14" s="3"/>
      <c r="B14" s="64"/>
      <c r="D14" s="73"/>
      <c r="E14" s="10"/>
      <c r="F14" s="6"/>
      <c r="G14" s="10"/>
      <c r="H14" s="58"/>
      <c r="I14" s="24"/>
      <c r="J14" s="146"/>
      <c r="K14" s="60"/>
      <c r="L14" s="149"/>
      <c r="M14" s="64">
        <f t="shared" si="1"/>
        <v>0</v>
      </c>
      <c r="N14" s="6" t="s">
        <v>2</v>
      </c>
      <c r="O14" s="129"/>
      <c r="P14" s="7">
        <f t="shared" si="0"/>
        <v>1</v>
      </c>
      <c r="Q14" s="131"/>
      <c r="R14" s="42" t="e">
        <f>MIN(J10,W14)</f>
        <v>#VALUE!</v>
      </c>
      <c r="S14" s="83" t="e">
        <f t="shared" si="2"/>
        <v>#VALUE!</v>
      </c>
      <c r="T14" s="149"/>
      <c r="U14" s="152"/>
      <c r="W14" s="125"/>
      <c r="X14" s="87">
        <f t="shared" si="3"/>
        <v>0</v>
      </c>
      <c r="Y14" s="157"/>
    </row>
    <row r="15" spans="1:25" ht="18" customHeight="1" thickBot="1" x14ac:dyDescent="0.6">
      <c r="A15" s="3"/>
      <c r="B15" s="64"/>
      <c r="D15" s="73"/>
      <c r="E15" s="10"/>
      <c r="F15" s="6"/>
      <c r="G15" s="10"/>
      <c r="H15" s="58"/>
      <c r="I15" s="24"/>
      <c r="J15" s="146"/>
      <c r="K15" s="60"/>
      <c r="L15" s="149"/>
      <c r="M15" s="64">
        <f t="shared" si="1"/>
        <v>0</v>
      </c>
      <c r="N15" s="6" t="s">
        <v>2</v>
      </c>
      <c r="O15" s="129"/>
      <c r="P15" s="7">
        <f t="shared" si="0"/>
        <v>1</v>
      </c>
      <c r="Q15" s="131"/>
      <c r="R15" s="42" t="e">
        <f>MIN(J10,W15)</f>
        <v>#VALUE!</v>
      </c>
      <c r="S15" s="83" t="e">
        <f t="shared" si="2"/>
        <v>#VALUE!</v>
      </c>
      <c r="T15" s="149"/>
      <c r="U15" s="152"/>
      <c r="W15" s="125"/>
      <c r="X15" s="87">
        <f t="shared" si="3"/>
        <v>0</v>
      </c>
      <c r="Y15" s="157"/>
    </row>
    <row r="16" spans="1:25" ht="18" customHeight="1" thickBot="1" x14ac:dyDescent="0.6">
      <c r="A16" s="3"/>
      <c r="B16" s="64"/>
      <c r="D16" s="73"/>
      <c r="E16" s="10"/>
      <c r="F16" s="6"/>
      <c r="G16" s="10"/>
      <c r="H16" s="58"/>
      <c r="I16" s="24"/>
      <c r="J16" s="146"/>
      <c r="K16" s="60"/>
      <c r="L16" s="149"/>
      <c r="M16" s="64">
        <f>IF(ISBLANK(O15),M15,O15+1)</f>
        <v>0</v>
      </c>
      <c r="N16" s="6"/>
      <c r="O16" s="129"/>
      <c r="P16" s="7">
        <f t="shared" si="0"/>
        <v>1</v>
      </c>
      <c r="Q16" s="131"/>
      <c r="R16" s="42" t="e">
        <f>MIN(J10,W16)</f>
        <v>#VALUE!</v>
      </c>
      <c r="S16" s="83" t="e">
        <f t="shared" si="2"/>
        <v>#VALUE!</v>
      </c>
      <c r="T16" s="149"/>
      <c r="U16" s="152"/>
      <c r="W16" s="125"/>
      <c r="X16" s="87">
        <f t="shared" si="3"/>
        <v>0</v>
      </c>
      <c r="Y16" s="157"/>
    </row>
    <row r="17" spans="1:25" ht="18" customHeight="1" thickBot="1" x14ac:dyDescent="0.6">
      <c r="A17" s="3"/>
      <c r="B17" s="65"/>
      <c r="C17" s="48"/>
      <c r="D17" s="74"/>
      <c r="E17" s="49">
        <f>IF(Sheet1!$F$8,計算表!H6,EDATE(計算表!H6,6))</f>
        <v>182</v>
      </c>
      <c r="F17" s="48" t="s">
        <v>2</v>
      </c>
      <c r="G17" s="49">
        <f>D10</f>
        <v>0</v>
      </c>
      <c r="H17" s="59">
        <f>G17-E17+1</f>
        <v>-181</v>
      </c>
      <c r="I17" s="51">
        <f>IF(Sheet1!$F$8,$J$6,$J$6*0.95)</f>
        <v>0</v>
      </c>
      <c r="J17" s="153"/>
      <c r="K17" s="61" t="e">
        <f>ROUNDDOWN(I17*H17/365*J10,2)</f>
        <v>#VALUE!</v>
      </c>
      <c r="L17" s="154"/>
      <c r="M17" s="65">
        <f>IF(ISBLANK(O16),M16,O16+1)</f>
        <v>0</v>
      </c>
      <c r="N17" s="48" t="s">
        <v>2</v>
      </c>
      <c r="O17" s="49">
        <f>D10</f>
        <v>0</v>
      </c>
      <c r="P17" s="50">
        <f t="shared" si="0"/>
        <v>1</v>
      </c>
      <c r="Q17" s="131"/>
      <c r="R17" s="52" t="e">
        <f>MIN(J10,W17)</f>
        <v>#VALUE!</v>
      </c>
      <c r="S17" s="84" t="e">
        <f>ROUNDDOWN(Q17*P17/365*R17,2)</f>
        <v>#VALUE!</v>
      </c>
      <c r="T17" s="154"/>
      <c r="U17" s="155"/>
      <c r="W17" s="126"/>
      <c r="X17" s="88">
        <f t="shared" si="3"/>
        <v>0</v>
      </c>
      <c r="Y17" s="158"/>
    </row>
    <row r="18" spans="1:25" ht="18" customHeight="1" thickBot="1" x14ac:dyDescent="0.6">
      <c r="A18" s="3"/>
      <c r="B18" s="63">
        <f>D10+1</f>
        <v>1</v>
      </c>
      <c r="C18" s="44" t="s">
        <v>2</v>
      </c>
      <c r="D18" s="75">
        <f>EDATE(D10,6)</f>
        <v>182</v>
      </c>
      <c r="E18" s="45">
        <f>B18</f>
        <v>1</v>
      </c>
      <c r="F18" s="44" t="s">
        <v>2</v>
      </c>
      <c r="G18" s="45">
        <f>E24-1</f>
        <v>365</v>
      </c>
      <c r="H18" s="57">
        <f>G18-E18+1</f>
        <v>365</v>
      </c>
      <c r="I18" s="46">
        <f>I17</f>
        <v>0</v>
      </c>
      <c r="J18" s="145" t="e">
        <f>IF(B10,0.7%,"")</f>
        <v>#VALUE!</v>
      </c>
      <c r="K18" s="79" t="e">
        <f>ROUNDDOWN(I18*H18/365*J18,2)</f>
        <v>#VALUE!</v>
      </c>
      <c r="L18" s="148" t="e">
        <f>ROUNDDOWN(SUM(K18:K24),0)</f>
        <v>#VALUE!</v>
      </c>
      <c r="M18" s="63">
        <f>B18</f>
        <v>1</v>
      </c>
      <c r="N18" s="44" t="s">
        <v>2</v>
      </c>
      <c r="O18" s="129"/>
      <c r="P18" s="47">
        <f>IF(O18-M18+1&lt;0,0,O18-M18+1)</f>
        <v>0</v>
      </c>
      <c r="Q18" s="131"/>
      <c r="R18" s="41" t="e">
        <f>MIN(J18,W18)</f>
        <v>#VALUE!</v>
      </c>
      <c r="S18" s="85" t="e">
        <f>ROUNDDOWN(Q18*P18/365*R18,2)</f>
        <v>#VALUE!</v>
      </c>
      <c r="T18" s="148" t="e">
        <f>ROUNDDOWN(SUM(S18:S24),0)</f>
        <v>#VALUE!</v>
      </c>
      <c r="U18" s="151" t="e">
        <f>MIN(L18,T18)</f>
        <v>#VALUE!</v>
      </c>
      <c r="W18" s="124"/>
      <c r="X18" s="87">
        <f>ROUNDDOWN(Q18*P18/365*W18,2)</f>
        <v>0</v>
      </c>
      <c r="Y18" s="156">
        <f>ROUNDDOWN(SUM(X18:X24),0)</f>
        <v>0</v>
      </c>
    </row>
    <row r="19" spans="1:25" ht="18" customHeight="1" thickBot="1" x14ac:dyDescent="0.6">
      <c r="A19" s="3"/>
      <c r="B19" s="64"/>
      <c r="D19" s="73"/>
      <c r="E19" s="10"/>
      <c r="F19" s="6"/>
      <c r="G19" s="10"/>
      <c r="H19" s="58"/>
      <c r="I19" s="24"/>
      <c r="J19" s="146"/>
      <c r="K19" s="60"/>
      <c r="L19" s="149"/>
      <c r="M19" s="64">
        <f>IF(ISBLANK(O18),M18,O18+1)</f>
        <v>1</v>
      </c>
      <c r="N19" s="6" t="s">
        <v>2</v>
      </c>
      <c r="O19" s="129"/>
      <c r="P19" s="7">
        <f t="shared" si="0"/>
        <v>0</v>
      </c>
      <c r="Q19" s="131"/>
      <c r="R19" s="42" t="e">
        <f>MIN(J18,W19)</f>
        <v>#VALUE!</v>
      </c>
      <c r="S19" s="83" t="e">
        <f>ROUNDDOWN(Q19*P19/365*R19,2)</f>
        <v>#VALUE!</v>
      </c>
      <c r="T19" s="149"/>
      <c r="U19" s="152"/>
      <c r="W19" s="125"/>
      <c r="X19" s="87">
        <f t="shared" ref="X19:X24" si="4">ROUNDDOWN(Q19*P19/365*W19,2)</f>
        <v>0</v>
      </c>
      <c r="Y19" s="157"/>
    </row>
    <row r="20" spans="1:25" ht="18" customHeight="1" thickBot="1" x14ac:dyDescent="0.6">
      <c r="A20" s="3"/>
      <c r="B20" s="64"/>
      <c r="D20" s="73"/>
      <c r="E20" s="10"/>
      <c r="F20" s="6"/>
      <c r="G20" s="10"/>
      <c r="H20" s="58"/>
      <c r="I20" s="24"/>
      <c r="J20" s="146"/>
      <c r="K20" s="60"/>
      <c r="L20" s="149"/>
      <c r="M20" s="64">
        <f t="shared" ref="M20:M24" si="5">IF(ISBLANK(O19),M19,O19+1)</f>
        <v>1</v>
      </c>
      <c r="N20" s="6" t="s">
        <v>2</v>
      </c>
      <c r="O20" s="129"/>
      <c r="P20" s="7">
        <f t="shared" si="0"/>
        <v>0</v>
      </c>
      <c r="Q20" s="131"/>
      <c r="R20" s="42" t="e">
        <f>MIN(J18,W20)</f>
        <v>#VALUE!</v>
      </c>
      <c r="S20" s="83" t="e">
        <f t="shared" ref="S20:S23" si="6">ROUNDDOWN(Q20*P20/365*R20,2)</f>
        <v>#VALUE!</v>
      </c>
      <c r="T20" s="149"/>
      <c r="U20" s="152"/>
      <c r="W20" s="125"/>
      <c r="X20" s="87">
        <f t="shared" si="4"/>
        <v>0</v>
      </c>
      <c r="Y20" s="157"/>
    </row>
    <row r="21" spans="1:25" ht="18" customHeight="1" thickBot="1" x14ac:dyDescent="0.6">
      <c r="A21" s="3"/>
      <c r="B21" s="64"/>
      <c r="D21" s="73"/>
      <c r="E21" s="10"/>
      <c r="F21" s="6"/>
      <c r="G21" s="10"/>
      <c r="H21" s="58"/>
      <c r="I21" s="24"/>
      <c r="J21" s="146"/>
      <c r="K21" s="60"/>
      <c r="L21" s="149"/>
      <c r="M21" s="64">
        <f t="shared" si="5"/>
        <v>1</v>
      </c>
      <c r="N21" s="6" t="s">
        <v>2</v>
      </c>
      <c r="O21" s="129"/>
      <c r="P21" s="7">
        <f t="shared" si="0"/>
        <v>0</v>
      </c>
      <c r="Q21" s="131"/>
      <c r="R21" s="42" t="e">
        <f>MIN(J18,W21)</f>
        <v>#VALUE!</v>
      </c>
      <c r="S21" s="83" t="e">
        <f t="shared" si="6"/>
        <v>#VALUE!</v>
      </c>
      <c r="T21" s="149"/>
      <c r="U21" s="152"/>
      <c r="W21" s="125"/>
      <c r="X21" s="87">
        <f t="shared" si="4"/>
        <v>0</v>
      </c>
      <c r="Y21" s="157"/>
    </row>
    <row r="22" spans="1:25" ht="18" customHeight="1" thickBot="1" x14ac:dyDescent="0.6">
      <c r="A22" s="3"/>
      <c r="B22" s="64"/>
      <c r="D22" s="73"/>
      <c r="E22" s="10"/>
      <c r="F22" s="6"/>
      <c r="G22" s="10"/>
      <c r="H22" s="58"/>
      <c r="I22" s="24"/>
      <c r="J22" s="146"/>
      <c r="K22" s="60"/>
      <c r="L22" s="149"/>
      <c r="M22" s="64">
        <f t="shared" si="5"/>
        <v>1</v>
      </c>
      <c r="N22" s="6" t="s">
        <v>2</v>
      </c>
      <c r="O22" s="129"/>
      <c r="P22" s="7">
        <f t="shared" si="0"/>
        <v>0</v>
      </c>
      <c r="Q22" s="131"/>
      <c r="R22" s="42" t="e">
        <f>MIN(J18,W22)</f>
        <v>#VALUE!</v>
      </c>
      <c r="S22" s="83" t="e">
        <f t="shared" si="6"/>
        <v>#VALUE!</v>
      </c>
      <c r="T22" s="149"/>
      <c r="U22" s="152"/>
      <c r="W22" s="125"/>
      <c r="X22" s="87">
        <f t="shared" si="4"/>
        <v>0</v>
      </c>
      <c r="Y22" s="157"/>
    </row>
    <row r="23" spans="1:25" ht="18" customHeight="1" thickBot="1" x14ac:dyDescent="0.6">
      <c r="A23" s="3"/>
      <c r="B23" s="64"/>
      <c r="C23" s="7"/>
      <c r="D23" s="73"/>
      <c r="E23" s="12"/>
      <c r="F23" s="6"/>
      <c r="G23" s="12"/>
      <c r="H23" s="58"/>
      <c r="I23" s="24"/>
      <c r="J23" s="146"/>
      <c r="K23" s="80"/>
      <c r="L23" s="149"/>
      <c r="M23" s="64">
        <f t="shared" si="5"/>
        <v>1</v>
      </c>
      <c r="N23" s="6" t="s">
        <v>2</v>
      </c>
      <c r="O23" s="129"/>
      <c r="P23" s="7">
        <f t="shared" si="0"/>
        <v>0</v>
      </c>
      <c r="Q23" s="131"/>
      <c r="R23" s="42" t="e">
        <f>MIN(J18,W23)</f>
        <v>#VALUE!</v>
      </c>
      <c r="S23" s="83" t="e">
        <f t="shared" si="6"/>
        <v>#VALUE!</v>
      </c>
      <c r="T23" s="149"/>
      <c r="U23" s="152"/>
      <c r="W23" s="125"/>
      <c r="X23" s="87">
        <f t="shared" si="4"/>
        <v>0</v>
      </c>
      <c r="Y23" s="157"/>
    </row>
    <row r="24" spans="1:25" ht="18" customHeight="1" thickBot="1" x14ac:dyDescent="0.6">
      <c r="A24" s="3"/>
      <c r="B24" s="65"/>
      <c r="C24" s="50"/>
      <c r="D24" s="74"/>
      <c r="E24" s="53">
        <f>IF(Sheet1!$F$8,EDATE(計算表!H6,6),EDATE(計算表!E10,12))</f>
        <v>366</v>
      </c>
      <c r="F24" s="48" t="s">
        <v>2</v>
      </c>
      <c r="G24" s="53">
        <f>D18</f>
        <v>182</v>
      </c>
      <c r="H24" s="59">
        <f>G24-E24+1</f>
        <v>-183</v>
      </c>
      <c r="I24" s="51">
        <f>IF(Sheet1!$F$8,$J$6*0.95,$J$6*0.9)</f>
        <v>0</v>
      </c>
      <c r="J24" s="153"/>
      <c r="K24" s="61" t="e">
        <f>ROUNDDOWN(I24*H24/365*J18,2)</f>
        <v>#VALUE!</v>
      </c>
      <c r="L24" s="154"/>
      <c r="M24" s="65">
        <f t="shared" si="5"/>
        <v>1</v>
      </c>
      <c r="N24" s="48" t="s">
        <v>2</v>
      </c>
      <c r="O24" s="53">
        <f>D18</f>
        <v>182</v>
      </c>
      <c r="P24" s="50">
        <f t="shared" si="0"/>
        <v>182</v>
      </c>
      <c r="Q24" s="131"/>
      <c r="R24" s="52" t="e">
        <f>MIN(J18,W24)</f>
        <v>#VALUE!</v>
      </c>
      <c r="S24" s="84" t="e">
        <f t="shared" ref="S24:S33" si="7">ROUNDDOWN(Q24*P24/365*R24,2)</f>
        <v>#VALUE!</v>
      </c>
      <c r="T24" s="154"/>
      <c r="U24" s="155"/>
      <c r="W24" s="126"/>
      <c r="X24" s="88">
        <f t="shared" si="4"/>
        <v>0</v>
      </c>
      <c r="Y24" s="158"/>
    </row>
    <row r="25" spans="1:25" ht="18" customHeight="1" thickBot="1" x14ac:dyDescent="0.6">
      <c r="A25" s="3"/>
      <c r="B25" s="63">
        <f>D18+1</f>
        <v>183</v>
      </c>
      <c r="C25" s="44" t="s">
        <v>2</v>
      </c>
      <c r="D25" s="75">
        <f>EDATE(D18,6)</f>
        <v>365</v>
      </c>
      <c r="E25" s="45">
        <f>B25</f>
        <v>183</v>
      </c>
      <c r="F25" s="44" t="s">
        <v>2</v>
      </c>
      <c r="G25" s="45">
        <f>E31-1</f>
        <v>546</v>
      </c>
      <c r="H25" s="57">
        <f>G25-E25+1</f>
        <v>364</v>
      </c>
      <c r="I25" s="46">
        <f>I24</f>
        <v>0</v>
      </c>
      <c r="J25" s="145" t="e">
        <f>IF(B10,0.7%,"")</f>
        <v>#VALUE!</v>
      </c>
      <c r="K25" s="79" t="e">
        <f>ROUNDDOWN(I25*H25/365*J25,2)</f>
        <v>#VALUE!</v>
      </c>
      <c r="L25" s="148" t="e">
        <f>ROUNDDOWN(SUM(K25:K31),0)</f>
        <v>#VALUE!</v>
      </c>
      <c r="M25" s="63">
        <f>B25</f>
        <v>183</v>
      </c>
      <c r="N25" s="44" t="s">
        <v>2</v>
      </c>
      <c r="O25" s="129"/>
      <c r="P25" s="47">
        <f>IF(O25-M25+1&lt;0,0,O25-M25+1)</f>
        <v>0</v>
      </c>
      <c r="Q25" s="131"/>
      <c r="R25" s="41" t="e">
        <f>MIN(J25,W25)</f>
        <v>#VALUE!</v>
      </c>
      <c r="S25" s="85" t="e">
        <f t="shared" si="7"/>
        <v>#VALUE!</v>
      </c>
      <c r="T25" s="148" t="e">
        <f t="shared" ref="T25" si="8">ROUNDDOWN(SUM(S25:S31),0)</f>
        <v>#VALUE!</v>
      </c>
      <c r="U25" s="151" t="e">
        <f>MIN(L25,T25)</f>
        <v>#VALUE!</v>
      </c>
      <c r="W25" s="124"/>
      <c r="X25" s="87">
        <f t="shared" ref="X25:X32" si="9">ROUNDDOWN(Q25*P25/365*W25,2)</f>
        <v>0</v>
      </c>
      <c r="Y25" s="156">
        <f>ROUNDDOWN(SUM(X25:X31),0)</f>
        <v>0</v>
      </c>
    </row>
    <row r="26" spans="1:25" ht="18" customHeight="1" thickBot="1" x14ac:dyDescent="0.6">
      <c r="A26" s="3"/>
      <c r="B26" s="64"/>
      <c r="D26" s="73"/>
      <c r="E26" s="10"/>
      <c r="F26" s="6"/>
      <c r="G26" s="10"/>
      <c r="H26" s="58"/>
      <c r="I26" s="24"/>
      <c r="J26" s="146"/>
      <c r="K26" s="60"/>
      <c r="L26" s="149"/>
      <c r="M26" s="64">
        <f>IF(ISBLANK(O25),M25,O25+1)</f>
        <v>183</v>
      </c>
      <c r="N26" s="6" t="s">
        <v>2</v>
      </c>
      <c r="O26" s="129"/>
      <c r="P26" s="7">
        <f t="shared" ref="P26:P31" si="10">IF(O26-M26+1&lt;0,0,O26-M26+1)</f>
        <v>0</v>
      </c>
      <c r="Q26" s="131"/>
      <c r="R26" s="42" t="e">
        <f>MIN(J25,W26)</f>
        <v>#VALUE!</v>
      </c>
      <c r="S26" s="83" t="e">
        <f t="shared" si="7"/>
        <v>#VALUE!</v>
      </c>
      <c r="T26" s="149"/>
      <c r="U26" s="152"/>
      <c r="W26" s="125"/>
      <c r="X26" s="87">
        <f t="shared" si="9"/>
        <v>0</v>
      </c>
      <c r="Y26" s="157"/>
    </row>
    <row r="27" spans="1:25" ht="18" customHeight="1" thickBot="1" x14ac:dyDescent="0.6">
      <c r="A27" s="3"/>
      <c r="B27" s="64"/>
      <c r="D27" s="73"/>
      <c r="E27" s="10"/>
      <c r="F27" s="6"/>
      <c r="G27" s="10"/>
      <c r="H27" s="58"/>
      <c r="I27" s="24"/>
      <c r="J27" s="146"/>
      <c r="K27" s="60"/>
      <c r="L27" s="149"/>
      <c r="M27" s="64">
        <f t="shared" ref="M27:M31" si="11">IF(ISBLANK(O26),M26,O26+1)</f>
        <v>183</v>
      </c>
      <c r="N27" s="6" t="s">
        <v>2</v>
      </c>
      <c r="O27" s="129"/>
      <c r="P27" s="7">
        <f t="shared" si="10"/>
        <v>0</v>
      </c>
      <c r="Q27" s="131"/>
      <c r="R27" s="42" t="e">
        <f>MIN(J25,W27)</f>
        <v>#VALUE!</v>
      </c>
      <c r="S27" s="83" t="e">
        <f t="shared" si="7"/>
        <v>#VALUE!</v>
      </c>
      <c r="T27" s="149"/>
      <c r="U27" s="152"/>
      <c r="W27" s="125"/>
      <c r="X27" s="87">
        <f t="shared" si="9"/>
        <v>0</v>
      </c>
      <c r="Y27" s="157"/>
    </row>
    <row r="28" spans="1:25" ht="18" customHeight="1" thickBot="1" x14ac:dyDescent="0.6">
      <c r="A28" s="3"/>
      <c r="B28" s="64"/>
      <c r="D28" s="73"/>
      <c r="E28" s="10"/>
      <c r="F28" s="6"/>
      <c r="G28" s="10"/>
      <c r="H28" s="58"/>
      <c r="I28" s="24"/>
      <c r="J28" s="146"/>
      <c r="K28" s="60"/>
      <c r="L28" s="149"/>
      <c r="M28" s="64">
        <f t="shared" si="11"/>
        <v>183</v>
      </c>
      <c r="N28" s="6" t="s">
        <v>2</v>
      </c>
      <c r="O28" s="129"/>
      <c r="P28" s="7">
        <f t="shared" si="10"/>
        <v>0</v>
      </c>
      <c r="Q28" s="131"/>
      <c r="R28" s="42" t="e">
        <f>MIN(J25,W28)</f>
        <v>#VALUE!</v>
      </c>
      <c r="S28" s="83" t="e">
        <f t="shared" si="7"/>
        <v>#VALUE!</v>
      </c>
      <c r="T28" s="149"/>
      <c r="U28" s="152"/>
      <c r="W28" s="125"/>
      <c r="X28" s="87">
        <f t="shared" si="9"/>
        <v>0</v>
      </c>
      <c r="Y28" s="157"/>
    </row>
    <row r="29" spans="1:25" ht="18" customHeight="1" thickBot="1" x14ac:dyDescent="0.6">
      <c r="A29" s="3"/>
      <c r="B29" s="64"/>
      <c r="D29" s="73"/>
      <c r="E29" s="10"/>
      <c r="F29" s="6"/>
      <c r="G29" s="10"/>
      <c r="H29" s="58"/>
      <c r="I29" s="24"/>
      <c r="J29" s="146"/>
      <c r="K29" s="60"/>
      <c r="L29" s="149"/>
      <c r="M29" s="64">
        <f t="shared" si="11"/>
        <v>183</v>
      </c>
      <c r="N29" s="6" t="s">
        <v>2</v>
      </c>
      <c r="O29" s="129"/>
      <c r="P29" s="7">
        <f t="shared" si="10"/>
        <v>0</v>
      </c>
      <c r="Q29" s="131"/>
      <c r="R29" s="42" t="e">
        <f>MIN(J25,W29)</f>
        <v>#VALUE!</v>
      </c>
      <c r="S29" s="83" t="e">
        <f t="shared" si="7"/>
        <v>#VALUE!</v>
      </c>
      <c r="T29" s="149"/>
      <c r="U29" s="152"/>
      <c r="W29" s="125"/>
      <c r="X29" s="87">
        <f t="shared" si="9"/>
        <v>0</v>
      </c>
      <c r="Y29" s="157"/>
    </row>
    <row r="30" spans="1:25" ht="18" customHeight="1" thickBot="1" x14ac:dyDescent="0.6">
      <c r="A30" s="3"/>
      <c r="B30" s="64"/>
      <c r="C30" s="7"/>
      <c r="D30" s="73"/>
      <c r="E30" s="12"/>
      <c r="F30" s="6"/>
      <c r="G30" s="12"/>
      <c r="H30" s="58"/>
      <c r="I30" s="24"/>
      <c r="J30" s="146"/>
      <c r="K30" s="80"/>
      <c r="L30" s="149"/>
      <c r="M30" s="64">
        <f t="shared" si="11"/>
        <v>183</v>
      </c>
      <c r="N30" s="6" t="s">
        <v>2</v>
      </c>
      <c r="O30" s="129"/>
      <c r="P30" s="7">
        <f t="shared" si="10"/>
        <v>0</v>
      </c>
      <c r="Q30" s="131"/>
      <c r="R30" s="42" t="e">
        <f>MIN(J25,W30)</f>
        <v>#VALUE!</v>
      </c>
      <c r="S30" s="83" t="e">
        <f t="shared" si="7"/>
        <v>#VALUE!</v>
      </c>
      <c r="T30" s="149"/>
      <c r="U30" s="152"/>
      <c r="W30" s="125"/>
      <c r="X30" s="87">
        <f t="shared" si="9"/>
        <v>0</v>
      </c>
      <c r="Y30" s="157"/>
    </row>
    <row r="31" spans="1:25" ht="18" customHeight="1" thickBot="1" x14ac:dyDescent="0.6">
      <c r="A31" s="3"/>
      <c r="B31" s="65"/>
      <c r="C31" s="50"/>
      <c r="D31" s="74"/>
      <c r="E31" s="53">
        <f>IF(Sheet1!$F$8,EDATE(計算表!H6,12),EDATE(計算表!E10,18))</f>
        <v>547</v>
      </c>
      <c r="F31" s="48" t="s">
        <v>2</v>
      </c>
      <c r="G31" s="53">
        <f>D25</f>
        <v>365</v>
      </c>
      <c r="H31" s="59">
        <f>G31-E31+1</f>
        <v>-181</v>
      </c>
      <c r="I31" s="51">
        <f>IF(Sheet1!$F$8,$J$6*0.9,$J$6*0.85)</f>
        <v>0</v>
      </c>
      <c r="J31" s="153"/>
      <c r="K31" s="61" t="e">
        <f>ROUNDDOWN(I31*H31/365*J25,2)</f>
        <v>#VALUE!</v>
      </c>
      <c r="L31" s="154"/>
      <c r="M31" s="65">
        <f t="shared" si="11"/>
        <v>183</v>
      </c>
      <c r="N31" s="48" t="s">
        <v>2</v>
      </c>
      <c r="O31" s="53">
        <f>D25</f>
        <v>365</v>
      </c>
      <c r="P31" s="50">
        <f t="shared" si="10"/>
        <v>183</v>
      </c>
      <c r="Q31" s="131"/>
      <c r="R31" s="52" t="e">
        <f>MIN(J25,W31)</f>
        <v>#VALUE!</v>
      </c>
      <c r="S31" s="84" t="e">
        <f t="shared" si="7"/>
        <v>#VALUE!</v>
      </c>
      <c r="T31" s="154"/>
      <c r="U31" s="155"/>
      <c r="W31" s="126"/>
      <c r="X31" s="88">
        <f t="shared" si="9"/>
        <v>0</v>
      </c>
      <c r="Y31" s="158"/>
    </row>
    <row r="32" spans="1:25" ht="18" customHeight="1" thickBot="1" x14ac:dyDescent="0.6">
      <c r="A32" s="3"/>
      <c r="B32" s="63">
        <f>D25+1</f>
        <v>366</v>
      </c>
      <c r="C32" s="44" t="s">
        <v>2</v>
      </c>
      <c r="D32" s="75">
        <f>EDATE(D25,6)</f>
        <v>547</v>
      </c>
      <c r="E32" s="45">
        <f>B32</f>
        <v>366</v>
      </c>
      <c r="F32" s="44" t="s">
        <v>2</v>
      </c>
      <c r="G32" s="45">
        <f>E38-1</f>
        <v>730</v>
      </c>
      <c r="H32" s="57">
        <f>G32-E32+1</f>
        <v>365</v>
      </c>
      <c r="I32" s="46">
        <f>I31</f>
        <v>0</v>
      </c>
      <c r="J32" s="145" t="e">
        <f>IF(B10,0.7%,"")</f>
        <v>#VALUE!</v>
      </c>
      <c r="K32" s="79" t="e">
        <f>ROUNDDOWN(I32*H32/365*J32,2)</f>
        <v>#VALUE!</v>
      </c>
      <c r="L32" s="148" t="e">
        <f>ROUNDDOWN(SUM(K32:K38),0)</f>
        <v>#VALUE!</v>
      </c>
      <c r="M32" s="63">
        <f>B32</f>
        <v>366</v>
      </c>
      <c r="N32" s="44" t="s">
        <v>2</v>
      </c>
      <c r="O32" s="129"/>
      <c r="P32" s="47">
        <f>IF(O32-M32+1&lt;0,0,O32-M32+1)</f>
        <v>0</v>
      </c>
      <c r="Q32" s="131"/>
      <c r="R32" s="41" t="e">
        <f>MIN(J32,W32)</f>
        <v>#VALUE!</v>
      </c>
      <c r="S32" s="85" t="e">
        <f t="shared" si="7"/>
        <v>#VALUE!</v>
      </c>
      <c r="T32" s="148" t="e">
        <f t="shared" ref="T32" si="12">ROUNDDOWN(SUM(S32:S38),0)</f>
        <v>#VALUE!</v>
      </c>
      <c r="U32" s="151" t="e">
        <f>MIN(L32,T32)</f>
        <v>#VALUE!</v>
      </c>
      <c r="W32" s="124"/>
      <c r="X32" s="87">
        <f t="shared" si="9"/>
        <v>0</v>
      </c>
      <c r="Y32" s="156">
        <f>ROUNDDOWN(SUM(X32:X38),0)</f>
        <v>0</v>
      </c>
    </row>
    <row r="33" spans="1:25" ht="18" customHeight="1" thickBot="1" x14ac:dyDescent="0.6">
      <c r="A33" s="3"/>
      <c r="B33" s="64"/>
      <c r="D33" s="73"/>
      <c r="E33" s="10"/>
      <c r="F33" s="6"/>
      <c r="G33" s="10"/>
      <c r="H33" s="58"/>
      <c r="I33" s="24"/>
      <c r="J33" s="146"/>
      <c r="K33" s="60"/>
      <c r="L33" s="149"/>
      <c r="M33" s="64">
        <f>IF(ISBLANK(O32),M32,O32+1)</f>
        <v>366</v>
      </c>
      <c r="N33" s="6" t="s">
        <v>2</v>
      </c>
      <c r="O33" s="129"/>
      <c r="P33" s="7">
        <f t="shared" ref="P33:P38" si="13">IF(O33-M33+1&lt;0,0,O33-M33+1)</f>
        <v>0</v>
      </c>
      <c r="Q33" s="131"/>
      <c r="R33" s="42" t="e">
        <f>MIN(J32,W33)</f>
        <v>#VALUE!</v>
      </c>
      <c r="S33" s="83" t="e">
        <f t="shared" si="7"/>
        <v>#VALUE!</v>
      </c>
      <c r="T33" s="149"/>
      <c r="U33" s="152"/>
      <c r="W33" s="125"/>
      <c r="X33" s="87">
        <f t="shared" ref="X33:X38" si="14">ROUNDDOWN(Q33*P33/365*W33,2)</f>
        <v>0</v>
      </c>
      <c r="Y33" s="157"/>
    </row>
    <row r="34" spans="1:25" ht="18" customHeight="1" thickBot="1" x14ac:dyDescent="0.6">
      <c r="A34" s="3"/>
      <c r="B34" s="64"/>
      <c r="D34" s="73"/>
      <c r="E34" s="10"/>
      <c r="F34" s="6"/>
      <c r="G34" s="10"/>
      <c r="H34" s="58"/>
      <c r="I34" s="24"/>
      <c r="J34" s="146"/>
      <c r="K34" s="60"/>
      <c r="L34" s="149"/>
      <c r="M34" s="64">
        <f t="shared" ref="M34:M38" si="15">IF(ISBLANK(O33),M33,O33+1)</f>
        <v>366</v>
      </c>
      <c r="N34" s="6" t="s">
        <v>2</v>
      </c>
      <c r="O34" s="129"/>
      <c r="P34" s="7">
        <f t="shared" si="13"/>
        <v>0</v>
      </c>
      <c r="Q34" s="131"/>
      <c r="R34" s="42" t="e">
        <f>MIN(J32,W34)</f>
        <v>#VALUE!</v>
      </c>
      <c r="S34" s="83" t="e">
        <f t="shared" ref="S34:S37" si="16">ROUNDDOWN(Q34*P34/365*R34,2)</f>
        <v>#VALUE!</v>
      </c>
      <c r="T34" s="149"/>
      <c r="U34" s="152"/>
      <c r="W34" s="125"/>
      <c r="X34" s="87">
        <f t="shared" si="14"/>
        <v>0</v>
      </c>
      <c r="Y34" s="157"/>
    </row>
    <row r="35" spans="1:25" ht="18" customHeight="1" thickBot="1" x14ac:dyDescent="0.6">
      <c r="A35" s="3"/>
      <c r="B35" s="64"/>
      <c r="D35" s="73"/>
      <c r="E35" s="10"/>
      <c r="F35" s="6"/>
      <c r="G35" s="10"/>
      <c r="H35" s="58"/>
      <c r="I35" s="24"/>
      <c r="J35" s="146"/>
      <c r="K35" s="60"/>
      <c r="L35" s="149"/>
      <c r="M35" s="64">
        <f t="shared" si="15"/>
        <v>366</v>
      </c>
      <c r="N35" s="6" t="s">
        <v>2</v>
      </c>
      <c r="O35" s="129"/>
      <c r="P35" s="7">
        <f t="shared" si="13"/>
        <v>0</v>
      </c>
      <c r="Q35" s="131"/>
      <c r="R35" s="42" t="e">
        <f>MIN(J32,W35)</f>
        <v>#VALUE!</v>
      </c>
      <c r="S35" s="83" t="e">
        <f t="shared" si="16"/>
        <v>#VALUE!</v>
      </c>
      <c r="T35" s="149"/>
      <c r="U35" s="152"/>
      <c r="W35" s="125"/>
      <c r="X35" s="87">
        <f t="shared" si="14"/>
        <v>0</v>
      </c>
      <c r="Y35" s="157"/>
    </row>
    <row r="36" spans="1:25" ht="18" customHeight="1" thickBot="1" x14ac:dyDescent="0.6">
      <c r="A36" s="3"/>
      <c r="B36" s="64"/>
      <c r="D36" s="73"/>
      <c r="E36" s="10"/>
      <c r="F36" s="6"/>
      <c r="G36" s="10"/>
      <c r="H36" s="58"/>
      <c r="I36" s="24"/>
      <c r="J36" s="146"/>
      <c r="K36" s="60"/>
      <c r="L36" s="149"/>
      <c r="M36" s="64">
        <f t="shared" si="15"/>
        <v>366</v>
      </c>
      <c r="N36" s="6" t="s">
        <v>2</v>
      </c>
      <c r="O36" s="129"/>
      <c r="P36" s="7">
        <f t="shared" si="13"/>
        <v>0</v>
      </c>
      <c r="Q36" s="131"/>
      <c r="R36" s="42" t="e">
        <f>MIN(J32,W36)</f>
        <v>#VALUE!</v>
      </c>
      <c r="S36" s="83" t="e">
        <f t="shared" si="16"/>
        <v>#VALUE!</v>
      </c>
      <c r="T36" s="149"/>
      <c r="U36" s="152"/>
      <c r="W36" s="125"/>
      <c r="X36" s="87">
        <f t="shared" si="14"/>
        <v>0</v>
      </c>
      <c r="Y36" s="157"/>
    </row>
    <row r="37" spans="1:25" ht="18" customHeight="1" thickBot="1" x14ac:dyDescent="0.6">
      <c r="A37" s="3"/>
      <c r="B37" s="64"/>
      <c r="C37" s="7"/>
      <c r="D37" s="73"/>
      <c r="E37" s="12"/>
      <c r="F37" s="6"/>
      <c r="G37" s="12"/>
      <c r="H37" s="58"/>
      <c r="I37" s="24"/>
      <c r="J37" s="146"/>
      <c r="K37" s="80"/>
      <c r="L37" s="149"/>
      <c r="M37" s="64">
        <f t="shared" si="15"/>
        <v>366</v>
      </c>
      <c r="N37" s="6" t="s">
        <v>2</v>
      </c>
      <c r="O37" s="129"/>
      <c r="P37" s="7">
        <f t="shared" si="13"/>
        <v>0</v>
      </c>
      <c r="Q37" s="131"/>
      <c r="R37" s="42" t="e">
        <f>MIN(J32,W37)</f>
        <v>#VALUE!</v>
      </c>
      <c r="S37" s="83" t="e">
        <f t="shared" si="16"/>
        <v>#VALUE!</v>
      </c>
      <c r="T37" s="149"/>
      <c r="U37" s="152"/>
      <c r="W37" s="125"/>
      <c r="X37" s="87">
        <f t="shared" si="14"/>
        <v>0</v>
      </c>
      <c r="Y37" s="157"/>
    </row>
    <row r="38" spans="1:25" ht="18" customHeight="1" thickBot="1" x14ac:dyDescent="0.6">
      <c r="A38" s="3"/>
      <c r="B38" s="65"/>
      <c r="C38" s="50"/>
      <c r="D38" s="74"/>
      <c r="E38" s="53">
        <f>IF(Sheet1!$F$8,EDATE(計算表!H6,18),EDATE(計算表!E10,24))</f>
        <v>731</v>
      </c>
      <c r="F38" s="48" t="s">
        <v>2</v>
      </c>
      <c r="G38" s="53">
        <f>D32</f>
        <v>547</v>
      </c>
      <c r="H38" s="59">
        <f>G38-E38+1</f>
        <v>-183</v>
      </c>
      <c r="I38" s="51">
        <f>IF(Sheet1!$F$8,$J$6*0.85,$J$6*0.8)</f>
        <v>0</v>
      </c>
      <c r="J38" s="153"/>
      <c r="K38" s="61" t="e">
        <f>ROUNDDOWN(I38*H38/365*J32,2)</f>
        <v>#VALUE!</v>
      </c>
      <c r="L38" s="154"/>
      <c r="M38" s="65">
        <f t="shared" si="15"/>
        <v>366</v>
      </c>
      <c r="N38" s="48" t="s">
        <v>2</v>
      </c>
      <c r="O38" s="53">
        <f>D32</f>
        <v>547</v>
      </c>
      <c r="P38" s="50">
        <f t="shared" si="13"/>
        <v>182</v>
      </c>
      <c r="Q38" s="131"/>
      <c r="R38" s="52" t="e">
        <f>MIN(J32,W38)</f>
        <v>#VALUE!</v>
      </c>
      <c r="S38" s="84" t="e">
        <f>ROUNDDOWN(Q38*P38/365*R38,2)</f>
        <v>#VALUE!</v>
      </c>
      <c r="T38" s="154"/>
      <c r="U38" s="155"/>
      <c r="W38" s="126"/>
      <c r="X38" s="88">
        <f t="shared" si="14"/>
        <v>0</v>
      </c>
      <c r="Y38" s="158"/>
    </row>
    <row r="39" spans="1:25" ht="18" customHeight="1" thickBot="1" x14ac:dyDescent="0.6">
      <c r="A39" s="3"/>
      <c r="B39" s="63">
        <f>D32+1</f>
        <v>548</v>
      </c>
      <c r="C39" s="44" t="s">
        <v>2</v>
      </c>
      <c r="D39" s="75">
        <f>EDATE(D32,6)</f>
        <v>730</v>
      </c>
      <c r="E39" s="45">
        <f>B39</f>
        <v>548</v>
      </c>
      <c r="F39" s="44" t="s">
        <v>2</v>
      </c>
      <c r="G39" s="45">
        <f>E45-1</f>
        <v>911</v>
      </c>
      <c r="H39" s="57">
        <f>G39-E39+1</f>
        <v>364</v>
      </c>
      <c r="I39" s="46">
        <f>I38</f>
        <v>0</v>
      </c>
      <c r="J39" s="145" t="e">
        <f>IF(B10,0.7%,"")</f>
        <v>#VALUE!</v>
      </c>
      <c r="K39" s="79" t="e">
        <f>ROUNDDOWN(I39*H39/365*J39,2)</f>
        <v>#VALUE!</v>
      </c>
      <c r="L39" s="148" t="e">
        <f>ROUNDDOWN(SUM(K39:K45),0)</f>
        <v>#VALUE!</v>
      </c>
      <c r="M39" s="63">
        <f>B39</f>
        <v>548</v>
      </c>
      <c r="N39" s="44" t="s">
        <v>2</v>
      </c>
      <c r="O39" s="129"/>
      <c r="P39" s="47">
        <f>IF(O39-M39+1&lt;0,0,O39-M39+1)</f>
        <v>0</v>
      </c>
      <c r="Q39" s="131"/>
      <c r="R39" s="41" t="e">
        <f>MIN(J39,W39)</f>
        <v>#VALUE!</v>
      </c>
      <c r="S39" s="85" t="e">
        <f>ROUNDDOWN(Q39*P39/365*R39,2)</f>
        <v>#VALUE!</v>
      </c>
      <c r="T39" s="148" t="e">
        <f t="shared" ref="T39" si="17">ROUNDDOWN(SUM(S39:S45),0)</f>
        <v>#VALUE!</v>
      </c>
      <c r="U39" s="151" t="e">
        <f>MIN(L39,T39)</f>
        <v>#VALUE!</v>
      </c>
      <c r="W39" s="124"/>
      <c r="X39" s="87">
        <f>ROUNDDOWN(Q39*P39/365*W39,2)</f>
        <v>0</v>
      </c>
      <c r="Y39" s="156">
        <f>ROUNDDOWN(SUM(X39:X45),0)</f>
        <v>0</v>
      </c>
    </row>
    <row r="40" spans="1:25" ht="18" customHeight="1" thickBot="1" x14ac:dyDescent="0.6">
      <c r="A40" s="3"/>
      <c r="B40" s="64"/>
      <c r="D40" s="73"/>
      <c r="E40" s="10"/>
      <c r="F40" s="6"/>
      <c r="G40" s="10"/>
      <c r="H40" s="58"/>
      <c r="I40" s="24"/>
      <c r="J40" s="146"/>
      <c r="K40" s="60"/>
      <c r="L40" s="149"/>
      <c r="M40" s="64">
        <f>IF(ISBLANK(O39),M39,O39+1)</f>
        <v>548</v>
      </c>
      <c r="N40" s="6" t="s">
        <v>2</v>
      </c>
      <c r="O40" s="129"/>
      <c r="P40" s="7">
        <f t="shared" ref="P40:P45" si="18">IF(O40-M40+1&lt;0,0,O40-M40+1)</f>
        <v>0</v>
      </c>
      <c r="Q40" s="131"/>
      <c r="R40" s="42" t="e">
        <f>MIN(J39,W40)</f>
        <v>#VALUE!</v>
      </c>
      <c r="S40" s="83" t="e">
        <f>ROUNDDOWN(Q40*P40/365*R40,2)</f>
        <v>#VALUE!</v>
      </c>
      <c r="T40" s="149"/>
      <c r="U40" s="152"/>
      <c r="W40" s="125"/>
      <c r="X40" s="87">
        <f t="shared" ref="X40:X45" si="19">ROUNDDOWN(Q40*P40/365*W40,2)</f>
        <v>0</v>
      </c>
      <c r="Y40" s="157"/>
    </row>
    <row r="41" spans="1:25" ht="18" customHeight="1" thickBot="1" x14ac:dyDescent="0.6">
      <c r="A41" s="3"/>
      <c r="B41" s="64"/>
      <c r="D41" s="73"/>
      <c r="E41" s="10"/>
      <c r="F41" s="6"/>
      <c r="G41" s="10"/>
      <c r="H41" s="58"/>
      <c r="I41" s="24"/>
      <c r="J41" s="146"/>
      <c r="K41" s="60"/>
      <c r="L41" s="149"/>
      <c r="M41" s="64">
        <f t="shared" ref="M41:M45" si="20">IF(ISBLANK(O40),M40,O40+1)</f>
        <v>548</v>
      </c>
      <c r="N41" s="6" t="s">
        <v>2</v>
      </c>
      <c r="O41" s="129"/>
      <c r="P41" s="7">
        <f t="shared" si="18"/>
        <v>0</v>
      </c>
      <c r="Q41" s="131"/>
      <c r="R41" s="42" t="e">
        <f>MIN(J39,W41)</f>
        <v>#VALUE!</v>
      </c>
      <c r="S41" s="83" t="e">
        <f t="shared" ref="S41:S44" si="21">ROUNDDOWN(Q41*P41/365*R41,2)</f>
        <v>#VALUE!</v>
      </c>
      <c r="T41" s="149"/>
      <c r="U41" s="152"/>
      <c r="W41" s="125"/>
      <c r="X41" s="87">
        <f t="shared" si="19"/>
        <v>0</v>
      </c>
      <c r="Y41" s="157"/>
    </row>
    <row r="42" spans="1:25" ht="18" customHeight="1" thickBot="1" x14ac:dyDescent="0.6">
      <c r="A42" s="3"/>
      <c r="B42" s="64"/>
      <c r="D42" s="73"/>
      <c r="E42" s="10"/>
      <c r="F42" s="6"/>
      <c r="G42" s="10"/>
      <c r="H42" s="58"/>
      <c r="I42" s="24"/>
      <c r="J42" s="146"/>
      <c r="K42" s="60"/>
      <c r="L42" s="149"/>
      <c r="M42" s="64">
        <f t="shared" si="20"/>
        <v>548</v>
      </c>
      <c r="N42" s="6" t="s">
        <v>2</v>
      </c>
      <c r="O42" s="129"/>
      <c r="P42" s="7">
        <f t="shared" si="18"/>
        <v>0</v>
      </c>
      <c r="Q42" s="131"/>
      <c r="R42" s="42" t="e">
        <f>MIN(J39,W42)</f>
        <v>#VALUE!</v>
      </c>
      <c r="S42" s="83" t="e">
        <f t="shared" si="21"/>
        <v>#VALUE!</v>
      </c>
      <c r="T42" s="149"/>
      <c r="U42" s="152"/>
      <c r="W42" s="125"/>
      <c r="X42" s="87">
        <f t="shared" si="19"/>
        <v>0</v>
      </c>
      <c r="Y42" s="157"/>
    </row>
    <row r="43" spans="1:25" ht="18" customHeight="1" thickBot="1" x14ac:dyDescent="0.6">
      <c r="A43" s="3"/>
      <c r="B43" s="64"/>
      <c r="D43" s="73"/>
      <c r="E43" s="10"/>
      <c r="F43" s="6"/>
      <c r="G43" s="10"/>
      <c r="H43" s="58"/>
      <c r="I43" s="24"/>
      <c r="J43" s="146"/>
      <c r="K43" s="60"/>
      <c r="L43" s="149"/>
      <c r="M43" s="64">
        <f t="shared" si="20"/>
        <v>548</v>
      </c>
      <c r="N43" s="6" t="s">
        <v>2</v>
      </c>
      <c r="O43" s="129"/>
      <c r="P43" s="7">
        <f t="shared" si="18"/>
        <v>0</v>
      </c>
      <c r="Q43" s="131"/>
      <c r="R43" s="42" t="e">
        <f>MIN(J39,W43)</f>
        <v>#VALUE!</v>
      </c>
      <c r="S43" s="83" t="e">
        <f t="shared" si="21"/>
        <v>#VALUE!</v>
      </c>
      <c r="T43" s="149"/>
      <c r="U43" s="152"/>
      <c r="W43" s="125"/>
      <c r="X43" s="87">
        <f t="shared" si="19"/>
        <v>0</v>
      </c>
      <c r="Y43" s="157"/>
    </row>
    <row r="44" spans="1:25" ht="18" customHeight="1" thickBot="1" x14ac:dyDescent="0.6">
      <c r="A44" s="3"/>
      <c r="B44" s="64"/>
      <c r="C44" s="7"/>
      <c r="D44" s="73"/>
      <c r="E44" s="12"/>
      <c r="F44" s="6"/>
      <c r="G44" s="12"/>
      <c r="H44" s="58"/>
      <c r="I44" s="24"/>
      <c r="J44" s="146"/>
      <c r="K44" s="80"/>
      <c r="L44" s="149"/>
      <c r="M44" s="64">
        <f t="shared" si="20"/>
        <v>548</v>
      </c>
      <c r="N44" s="6" t="s">
        <v>2</v>
      </c>
      <c r="O44" s="129"/>
      <c r="P44" s="7">
        <f t="shared" si="18"/>
        <v>0</v>
      </c>
      <c r="Q44" s="131"/>
      <c r="R44" s="42" t="e">
        <f>MIN(J39,W44)</f>
        <v>#VALUE!</v>
      </c>
      <c r="S44" s="83" t="e">
        <f t="shared" si="21"/>
        <v>#VALUE!</v>
      </c>
      <c r="T44" s="149"/>
      <c r="U44" s="152"/>
      <c r="W44" s="125"/>
      <c r="X44" s="87">
        <f t="shared" si="19"/>
        <v>0</v>
      </c>
      <c r="Y44" s="157"/>
    </row>
    <row r="45" spans="1:25" ht="18" customHeight="1" thickBot="1" x14ac:dyDescent="0.6">
      <c r="A45" s="3"/>
      <c r="B45" s="65"/>
      <c r="C45" s="50"/>
      <c r="D45" s="74"/>
      <c r="E45" s="53">
        <f>IF(Sheet1!$F$8,EDATE(計算表!H6,24),EDATE(計算表!E10,30))</f>
        <v>912</v>
      </c>
      <c r="F45" s="48" t="s">
        <v>2</v>
      </c>
      <c r="G45" s="53">
        <f>D39</f>
        <v>730</v>
      </c>
      <c r="H45" s="59">
        <f>G45-E45+1</f>
        <v>-181</v>
      </c>
      <c r="I45" s="51">
        <f>IF(Sheet1!$F$8,$J$6*0.8,$J$6*0.75)</f>
        <v>0</v>
      </c>
      <c r="J45" s="153"/>
      <c r="K45" s="61" t="e">
        <f>ROUNDDOWN(I45*H45/365*J39,2)</f>
        <v>#VALUE!</v>
      </c>
      <c r="L45" s="154"/>
      <c r="M45" s="65">
        <f t="shared" si="20"/>
        <v>548</v>
      </c>
      <c r="N45" s="48" t="s">
        <v>2</v>
      </c>
      <c r="O45" s="53">
        <f>D39</f>
        <v>730</v>
      </c>
      <c r="P45" s="50">
        <f t="shared" si="18"/>
        <v>183</v>
      </c>
      <c r="Q45" s="131"/>
      <c r="R45" s="52" t="e">
        <f>MIN(J39,W45)</f>
        <v>#VALUE!</v>
      </c>
      <c r="S45" s="84" t="e">
        <f>ROUNDDOWN(Q45*P45/365*R45,2)</f>
        <v>#VALUE!</v>
      </c>
      <c r="T45" s="154"/>
      <c r="U45" s="155"/>
      <c r="W45" s="126"/>
      <c r="X45" s="88">
        <f t="shared" si="19"/>
        <v>0</v>
      </c>
      <c r="Y45" s="158"/>
    </row>
    <row r="46" spans="1:25" ht="18" customHeight="1" thickBot="1" x14ac:dyDescent="0.6">
      <c r="A46" s="3"/>
      <c r="B46" s="63">
        <f>D39+1</f>
        <v>731</v>
      </c>
      <c r="C46" s="44" t="s">
        <v>2</v>
      </c>
      <c r="D46" s="75">
        <f>EDATE(D39,6)</f>
        <v>912</v>
      </c>
      <c r="E46" s="45">
        <f>B46</f>
        <v>731</v>
      </c>
      <c r="F46" s="44" t="s">
        <v>2</v>
      </c>
      <c r="G46" s="45">
        <f>E52-1</f>
        <v>1095</v>
      </c>
      <c r="H46" s="57">
        <f>G46-E46+1</f>
        <v>365</v>
      </c>
      <c r="I46" s="46">
        <f>I45</f>
        <v>0</v>
      </c>
      <c r="J46" s="145" t="e">
        <f>IF(B10,0.7%,"")</f>
        <v>#VALUE!</v>
      </c>
      <c r="K46" s="79" t="e">
        <f>ROUNDDOWN(I46*H46/365*J46,2)</f>
        <v>#VALUE!</v>
      </c>
      <c r="L46" s="148" t="e">
        <f>ROUNDDOWN(SUM(K46:K52),0)</f>
        <v>#VALUE!</v>
      </c>
      <c r="M46" s="63">
        <f>B46</f>
        <v>731</v>
      </c>
      <c r="N46" s="44" t="s">
        <v>2</v>
      </c>
      <c r="O46" s="129"/>
      <c r="P46" s="47">
        <f>IF(O46-M46+1&lt;0,0,O46-M46+1)</f>
        <v>0</v>
      </c>
      <c r="Q46" s="131"/>
      <c r="R46" s="41" t="e">
        <f>MIN(J46,W46)</f>
        <v>#VALUE!</v>
      </c>
      <c r="S46" s="85" t="e">
        <f>ROUNDDOWN(Q46*P46/365*R46,2)</f>
        <v>#VALUE!</v>
      </c>
      <c r="T46" s="148" t="e">
        <f t="shared" ref="T46" si="22">ROUNDDOWN(SUM(S46:S52),0)</f>
        <v>#VALUE!</v>
      </c>
      <c r="U46" s="151" t="e">
        <f>MIN(L46,T46)</f>
        <v>#VALUE!</v>
      </c>
      <c r="W46" s="124"/>
      <c r="X46" s="87">
        <f>ROUNDDOWN(Q46*P46/365*W46,2)</f>
        <v>0</v>
      </c>
      <c r="Y46" s="156">
        <f>ROUNDDOWN(SUM(X46:X52),0)</f>
        <v>0</v>
      </c>
    </row>
    <row r="47" spans="1:25" ht="18" customHeight="1" thickBot="1" x14ac:dyDescent="0.6">
      <c r="A47" s="3"/>
      <c r="B47" s="64"/>
      <c r="D47" s="73"/>
      <c r="E47" s="10"/>
      <c r="F47" s="6"/>
      <c r="G47" s="10"/>
      <c r="H47" s="58"/>
      <c r="I47" s="24"/>
      <c r="J47" s="146"/>
      <c r="K47" s="60"/>
      <c r="L47" s="149"/>
      <c r="M47" s="64">
        <f>IF(ISBLANK(O46),M46,O46+1)</f>
        <v>731</v>
      </c>
      <c r="N47" s="6" t="s">
        <v>2</v>
      </c>
      <c r="O47" s="129"/>
      <c r="P47" s="7">
        <f t="shared" ref="P47:P52" si="23">IF(O47-M47+1&lt;0,0,O47-M47+1)</f>
        <v>0</v>
      </c>
      <c r="Q47" s="131"/>
      <c r="R47" s="42" t="e">
        <f>MIN(J46,W47)</f>
        <v>#VALUE!</v>
      </c>
      <c r="S47" s="83" t="e">
        <f>ROUNDDOWN(Q47*P47/365*R47,2)</f>
        <v>#VALUE!</v>
      </c>
      <c r="T47" s="149"/>
      <c r="U47" s="152"/>
      <c r="W47" s="125"/>
      <c r="X47" s="87">
        <f t="shared" ref="X47:X52" si="24">ROUNDDOWN(Q47*P47/365*W47,2)</f>
        <v>0</v>
      </c>
      <c r="Y47" s="157"/>
    </row>
    <row r="48" spans="1:25" ht="18" customHeight="1" thickBot="1" x14ac:dyDescent="0.6">
      <c r="A48" s="3"/>
      <c r="B48" s="64"/>
      <c r="D48" s="73"/>
      <c r="E48" s="10"/>
      <c r="F48" s="6"/>
      <c r="G48" s="10"/>
      <c r="H48" s="58"/>
      <c r="I48" s="24"/>
      <c r="J48" s="146"/>
      <c r="K48" s="60"/>
      <c r="L48" s="149"/>
      <c r="M48" s="64">
        <f t="shared" ref="M48:M52" si="25">IF(ISBLANK(O47),M47,O47+1)</f>
        <v>731</v>
      </c>
      <c r="N48" s="6" t="s">
        <v>2</v>
      </c>
      <c r="O48" s="129"/>
      <c r="P48" s="7">
        <f t="shared" si="23"/>
        <v>0</v>
      </c>
      <c r="Q48" s="131"/>
      <c r="R48" s="42" t="e">
        <f>MIN(J46,W48)</f>
        <v>#VALUE!</v>
      </c>
      <c r="S48" s="83" t="e">
        <f t="shared" ref="S48:S51" si="26">ROUNDDOWN(Q48*P48/365*R48,2)</f>
        <v>#VALUE!</v>
      </c>
      <c r="T48" s="149"/>
      <c r="U48" s="152"/>
      <c r="W48" s="125"/>
      <c r="X48" s="87">
        <f t="shared" si="24"/>
        <v>0</v>
      </c>
      <c r="Y48" s="157"/>
    </row>
    <row r="49" spans="1:25" ht="18" customHeight="1" thickBot="1" x14ac:dyDescent="0.6">
      <c r="A49" s="3"/>
      <c r="B49" s="64"/>
      <c r="D49" s="73"/>
      <c r="E49" s="10"/>
      <c r="F49" s="6"/>
      <c r="G49" s="10"/>
      <c r="H49" s="58"/>
      <c r="I49" s="24"/>
      <c r="J49" s="146"/>
      <c r="K49" s="60"/>
      <c r="L49" s="149"/>
      <c r="M49" s="64">
        <f t="shared" si="25"/>
        <v>731</v>
      </c>
      <c r="N49" s="6" t="s">
        <v>2</v>
      </c>
      <c r="O49" s="129"/>
      <c r="P49" s="7">
        <f t="shared" si="23"/>
        <v>0</v>
      </c>
      <c r="Q49" s="131"/>
      <c r="R49" s="42" t="e">
        <f>MIN(J46,W49)</f>
        <v>#VALUE!</v>
      </c>
      <c r="S49" s="83" t="e">
        <f t="shared" si="26"/>
        <v>#VALUE!</v>
      </c>
      <c r="T49" s="149"/>
      <c r="U49" s="152"/>
      <c r="W49" s="125"/>
      <c r="X49" s="87">
        <f t="shared" si="24"/>
        <v>0</v>
      </c>
      <c r="Y49" s="157"/>
    </row>
    <row r="50" spans="1:25" ht="18" customHeight="1" thickBot="1" x14ac:dyDescent="0.6">
      <c r="A50" s="3"/>
      <c r="B50" s="64"/>
      <c r="D50" s="73"/>
      <c r="E50" s="10"/>
      <c r="F50" s="6"/>
      <c r="G50" s="10"/>
      <c r="H50" s="58"/>
      <c r="I50" s="24"/>
      <c r="J50" s="146"/>
      <c r="K50" s="60"/>
      <c r="L50" s="149"/>
      <c r="M50" s="64">
        <f t="shared" si="25"/>
        <v>731</v>
      </c>
      <c r="N50" s="6" t="s">
        <v>2</v>
      </c>
      <c r="O50" s="129"/>
      <c r="P50" s="7">
        <f t="shared" si="23"/>
        <v>0</v>
      </c>
      <c r="Q50" s="131"/>
      <c r="R50" s="42" t="e">
        <f>MIN(J46,W50)</f>
        <v>#VALUE!</v>
      </c>
      <c r="S50" s="83" t="e">
        <f t="shared" si="26"/>
        <v>#VALUE!</v>
      </c>
      <c r="T50" s="149"/>
      <c r="U50" s="152"/>
      <c r="W50" s="125"/>
      <c r="X50" s="87">
        <f t="shared" si="24"/>
        <v>0</v>
      </c>
      <c r="Y50" s="157"/>
    </row>
    <row r="51" spans="1:25" ht="18" customHeight="1" thickBot="1" x14ac:dyDescent="0.6">
      <c r="A51" s="3"/>
      <c r="B51" s="64"/>
      <c r="C51" s="7"/>
      <c r="D51" s="73"/>
      <c r="E51" s="12"/>
      <c r="F51" s="6"/>
      <c r="G51" s="12"/>
      <c r="H51" s="58"/>
      <c r="I51" s="24"/>
      <c r="J51" s="146"/>
      <c r="K51" s="80"/>
      <c r="L51" s="149"/>
      <c r="M51" s="64">
        <f t="shared" si="25"/>
        <v>731</v>
      </c>
      <c r="N51" s="6" t="s">
        <v>2</v>
      </c>
      <c r="O51" s="129"/>
      <c r="P51" s="7">
        <f t="shared" si="23"/>
        <v>0</v>
      </c>
      <c r="Q51" s="131"/>
      <c r="R51" s="42" t="e">
        <f>MIN(J46,W51)</f>
        <v>#VALUE!</v>
      </c>
      <c r="S51" s="83" t="e">
        <f t="shared" si="26"/>
        <v>#VALUE!</v>
      </c>
      <c r="T51" s="149"/>
      <c r="U51" s="152"/>
      <c r="W51" s="125"/>
      <c r="X51" s="87">
        <f t="shared" si="24"/>
        <v>0</v>
      </c>
      <c r="Y51" s="157"/>
    </row>
    <row r="52" spans="1:25" ht="18" customHeight="1" thickBot="1" x14ac:dyDescent="0.6">
      <c r="A52" s="3"/>
      <c r="B52" s="65"/>
      <c r="C52" s="50"/>
      <c r="D52" s="74"/>
      <c r="E52" s="53">
        <f>IF(Sheet1!$F$8,EDATE(計算表!H6,30),EDATE(計算表!E10,36))</f>
        <v>1096</v>
      </c>
      <c r="F52" s="48" t="s">
        <v>2</v>
      </c>
      <c r="G52" s="53">
        <f>D46</f>
        <v>912</v>
      </c>
      <c r="H52" s="59">
        <f>G52-E52+1</f>
        <v>-183</v>
      </c>
      <c r="I52" s="51">
        <f>IF(Sheet1!$F$8,$J$6*0.75,$J$6*0.7)</f>
        <v>0</v>
      </c>
      <c r="J52" s="153"/>
      <c r="K52" s="61" t="e">
        <f>ROUNDDOWN(I52*H52/365*J46,2)</f>
        <v>#VALUE!</v>
      </c>
      <c r="L52" s="154"/>
      <c r="M52" s="65">
        <f t="shared" si="25"/>
        <v>731</v>
      </c>
      <c r="N52" s="48" t="s">
        <v>2</v>
      </c>
      <c r="O52" s="53">
        <f>D46</f>
        <v>912</v>
      </c>
      <c r="P52" s="50">
        <f t="shared" si="23"/>
        <v>182</v>
      </c>
      <c r="Q52" s="131"/>
      <c r="R52" s="52" t="e">
        <f>MIN(J46,W52)</f>
        <v>#VALUE!</v>
      </c>
      <c r="S52" s="84" t="e">
        <f>ROUNDDOWN(Q52*P52/365*R52,2)</f>
        <v>#VALUE!</v>
      </c>
      <c r="T52" s="154"/>
      <c r="U52" s="155"/>
      <c r="W52" s="126"/>
      <c r="X52" s="88">
        <f t="shared" si="24"/>
        <v>0</v>
      </c>
      <c r="Y52" s="158"/>
    </row>
    <row r="53" spans="1:25" ht="18" customHeight="1" thickBot="1" x14ac:dyDescent="0.6">
      <c r="B53" s="63">
        <f>D46+1</f>
        <v>913</v>
      </c>
      <c r="C53" s="44" t="s">
        <v>2</v>
      </c>
      <c r="D53" s="75">
        <f>EDATE(D46,6)</f>
        <v>1095</v>
      </c>
      <c r="E53" s="45">
        <f>B53</f>
        <v>913</v>
      </c>
      <c r="F53" s="44" t="s">
        <v>2</v>
      </c>
      <c r="G53" s="45">
        <f>E59-1</f>
        <v>1276</v>
      </c>
      <c r="H53" s="57">
        <f>G53-E53+1</f>
        <v>364</v>
      </c>
      <c r="I53" s="46">
        <f>I52</f>
        <v>0</v>
      </c>
      <c r="J53" s="145" t="e">
        <f>IF(B10,0.7%,"")</f>
        <v>#VALUE!</v>
      </c>
      <c r="K53" s="79" t="e">
        <f>ROUNDDOWN(I53*H53/365*J53,2)</f>
        <v>#VALUE!</v>
      </c>
      <c r="L53" s="148" t="e">
        <f>ROUNDDOWN(SUM(K53:K59),0)</f>
        <v>#VALUE!</v>
      </c>
      <c r="M53" s="63">
        <f>B53</f>
        <v>913</v>
      </c>
      <c r="N53" s="44" t="s">
        <v>2</v>
      </c>
      <c r="O53" s="129"/>
      <c r="P53" s="47">
        <f>IF(O53-M53+1&lt;0,0,O53-M53+1)</f>
        <v>0</v>
      </c>
      <c r="Q53" s="131"/>
      <c r="R53" s="41" t="e">
        <f>MIN(J53,W53)</f>
        <v>#VALUE!</v>
      </c>
      <c r="S53" s="85" t="e">
        <f>ROUNDDOWN(Q53*P53/365*R53,2)</f>
        <v>#VALUE!</v>
      </c>
      <c r="T53" s="148" t="e">
        <f t="shared" ref="T53" si="27">ROUNDDOWN(SUM(S53:S59),0)</f>
        <v>#VALUE!</v>
      </c>
      <c r="U53" s="151" t="e">
        <f>MIN(L53,T53)</f>
        <v>#VALUE!</v>
      </c>
      <c r="W53" s="124"/>
      <c r="X53" s="87">
        <f>ROUNDDOWN(Q53*P53/365*W53,2)</f>
        <v>0</v>
      </c>
      <c r="Y53" s="156">
        <f>ROUNDDOWN(SUM(X53:X59),0)</f>
        <v>0</v>
      </c>
    </row>
    <row r="54" spans="1:25" ht="18" customHeight="1" thickBot="1" x14ac:dyDescent="0.6">
      <c r="B54" s="64"/>
      <c r="D54" s="73"/>
      <c r="E54" s="10"/>
      <c r="F54" s="6"/>
      <c r="G54" s="10"/>
      <c r="H54" s="58"/>
      <c r="I54" s="24"/>
      <c r="J54" s="146"/>
      <c r="K54" s="60"/>
      <c r="L54" s="149"/>
      <c r="M54" s="64">
        <f>IF(ISBLANK(O53),M53,O53+1)</f>
        <v>913</v>
      </c>
      <c r="N54" s="6" t="s">
        <v>2</v>
      </c>
      <c r="O54" s="129"/>
      <c r="P54" s="7">
        <f t="shared" ref="P54:P59" si="28">IF(O54-M54+1&lt;0,0,O54-M54+1)</f>
        <v>0</v>
      </c>
      <c r="Q54" s="131"/>
      <c r="R54" s="42" t="e">
        <f>MIN(J53,W54)</f>
        <v>#VALUE!</v>
      </c>
      <c r="S54" s="83" t="e">
        <f>ROUNDDOWN(Q54*P54/365*R54,2)</f>
        <v>#VALUE!</v>
      </c>
      <c r="T54" s="149"/>
      <c r="U54" s="152"/>
      <c r="W54" s="125"/>
      <c r="X54" s="87">
        <f t="shared" ref="X54:X59" si="29">ROUNDDOWN(Q54*P54/365*W54,2)</f>
        <v>0</v>
      </c>
      <c r="Y54" s="157"/>
    </row>
    <row r="55" spans="1:25" ht="18" customHeight="1" thickBot="1" x14ac:dyDescent="0.6">
      <c r="B55" s="64"/>
      <c r="D55" s="73"/>
      <c r="E55" s="10"/>
      <c r="F55" s="6"/>
      <c r="G55" s="10"/>
      <c r="H55" s="58"/>
      <c r="I55" s="24"/>
      <c r="J55" s="146"/>
      <c r="K55" s="60"/>
      <c r="L55" s="149"/>
      <c r="M55" s="64">
        <f t="shared" ref="M55:M59" si="30">IF(ISBLANK(O54),M54,O54+1)</f>
        <v>913</v>
      </c>
      <c r="N55" s="6" t="s">
        <v>2</v>
      </c>
      <c r="O55" s="129"/>
      <c r="P55" s="7">
        <f t="shared" si="28"/>
        <v>0</v>
      </c>
      <c r="Q55" s="131"/>
      <c r="R55" s="42" t="e">
        <f>MIN(J53,W55)</f>
        <v>#VALUE!</v>
      </c>
      <c r="S55" s="83" t="e">
        <f t="shared" ref="S55:S58" si="31">ROUNDDOWN(Q55*P55/365*R55,2)</f>
        <v>#VALUE!</v>
      </c>
      <c r="T55" s="149"/>
      <c r="U55" s="152"/>
      <c r="W55" s="125"/>
      <c r="X55" s="87">
        <f t="shared" si="29"/>
        <v>0</v>
      </c>
      <c r="Y55" s="157"/>
    </row>
    <row r="56" spans="1:25" ht="18" customHeight="1" thickBot="1" x14ac:dyDescent="0.6">
      <c r="B56" s="64"/>
      <c r="D56" s="73"/>
      <c r="E56" s="10"/>
      <c r="F56" s="6"/>
      <c r="G56" s="10"/>
      <c r="H56" s="58"/>
      <c r="I56" s="24"/>
      <c r="J56" s="146"/>
      <c r="K56" s="60"/>
      <c r="L56" s="149"/>
      <c r="M56" s="64">
        <f t="shared" si="30"/>
        <v>913</v>
      </c>
      <c r="N56" s="6" t="s">
        <v>2</v>
      </c>
      <c r="O56" s="129"/>
      <c r="P56" s="7">
        <f t="shared" si="28"/>
        <v>0</v>
      </c>
      <c r="Q56" s="131"/>
      <c r="R56" s="42" t="e">
        <f>MIN(J53,W56)</f>
        <v>#VALUE!</v>
      </c>
      <c r="S56" s="83" t="e">
        <f t="shared" si="31"/>
        <v>#VALUE!</v>
      </c>
      <c r="T56" s="149"/>
      <c r="U56" s="152"/>
      <c r="W56" s="125"/>
      <c r="X56" s="87">
        <f t="shared" si="29"/>
        <v>0</v>
      </c>
      <c r="Y56" s="157"/>
    </row>
    <row r="57" spans="1:25" ht="18" customHeight="1" thickBot="1" x14ac:dyDescent="0.6">
      <c r="B57" s="64"/>
      <c r="D57" s="73"/>
      <c r="E57" s="10"/>
      <c r="F57" s="6"/>
      <c r="G57" s="10"/>
      <c r="H57" s="58"/>
      <c r="I57" s="24"/>
      <c r="J57" s="146"/>
      <c r="K57" s="60"/>
      <c r="L57" s="149"/>
      <c r="M57" s="64">
        <f t="shared" si="30"/>
        <v>913</v>
      </c>
      <c r="N57" s="6" t="s">
        <v>2</v>
      </c>
      <c r="O57" s="129"/>
      <c r="P57" s="7">
        <f t="shared" si="28"/>
        <v>0</v>
      </c>
      <c r="Q57" s="131"/>
      <c r="R57" s="42" t="e">
        <f>MIN(J53,W57)</f>
        <v>#VALUE!</v>
      </c>
      <c r="S57" s="83" t="e">
        <f t="shared" si="31"/>
        <v>#VALUE!</v>
      </c>
      <c r="T57" s="149"/>
      <c r="U57" s="152"/>
      <c r="W57" s="125"/>
      <c r="X57" s="87">
        <f t="shared" si="29"/>
        <v>0</v>
      </c>
      <c r="Y57" s="157"/>
    </row>
    <row r="58" spans="1:25" ht="18" customHeight="1" thickBot="1" x14ac:dyDescent="0.6">
      <c r="B58" s="64"/>
      <c r="C58" s="7"/>
      <c r="D58" s="73"/>
      <c r="E58" s="12"/>
      <c r="F58" s="6"/>
      <c r="G58" s="12"/>
      <c r="H58" s="58"/>
      <c r="I58" s="24"/>
      <c r="J58" s="146"/>
      <c r="K58" s="80"/>
      <c r="L58" s="149"/>
      <c r="M58" s="64">
        <f t="shared" si="30"/>
        <v>913</v>
      </c>
      <c r="N58" s="6" t="s">
        <v>2</v>
      </c>
      <c r="O58" s="129"/>
      <c r="P58" s="7">
        <f t="shared" si="28"/>
        <v>0</v>
      </c>
      <c r="Q58" s="131"/>
      <c r="R58" s="42" t="e">
        <f>MIN(J53,W58)</f>
        <v>#VALUE!</v>
      </c>
      <c r="S58" s="83" t="e">
        <f t="shared" si="31"/>
        <v>#VALUE!</v>
      </c>
      <c r="T58" s="149"/>
      <c r="U58" s="152"/>
      <c r="W58" s="125"/>
      <c r="X58" s="87">
        <f t="shared" si="29"/>
        <v>0</v>
      </c>
      <c r="Y58" s="157"/>
    </row>
    <row r="59" spans="1:25" ht="18" customHeight="1" thickBot="1" x14ac:dyDescent="0.6">
      <c r="B59" s="65"/>
      <c r="C59" s="50"/>
      <c r="D59" s="74"/>
      <c r="E59" s="53">
        <f>IF(Sheet1!$F$8,EDATE(計算表!H6,36),EDATE(計算表!E10,42))</f>
        <v>1277</v>
      </c>
      <c r="F59" s="48" t="s">
        <v>2</v>
      </c>
      <c r="G59" s="53">
        <f>D53</f>
        <v>1095</v>
      </c>
      <c r="H59" s="59">
        <f>G59-E59+1</f>
        <v>-181</v>
      </c>
      <c r="I59" s="51">
        <f>IF(Sheet1!$F$8,$J$6*0.7,$J$6*0.65)</f>
        <v>0</v>
      </c>
      <c r="J59" s="153"/>
      <c r="K59" s="61" t="e">
        <f>ROUNDDOWN(I59*H59/365*J53,2)</f>
        <v>#VALUE!</v>
      </c>
      <c r="L59" s="154"/>
      <c r="M59" s="65">
        <f t="shared" si="30"/>
        <v>913</v>
      </c>
      <c r="N59" s="48" t="s">
        <v>2</v>
      </c>
      <c r="O59" s="53">
        <f>D53</f>
        <v>1095</v>
      </c>
      <c r="P59" s="50">
        <f t="shared" si="28"/>
        <v>183</v>
      </c>
      <c r="Q59" s="131"/>
      <c r="R59" s="52" t="e">
        <f>MIN(J53,W59)</f>
        <v>#VALUE!</v>
      </c>
      <c r="S59" s="84" t="e">
        <f>ROUNDDOWN(Q59*P59/365*R59,2)</f>
        <v>#VALUE!</v>
      </c>
      <c r="T59" s="154"/>
      <c r="U59" s="155"/>
      <c r="W59" s="126"/>
      <c r="X59" s="88">
        <f t="shared" si="29"/>
        <v>0</v>
      </c>
      <c r="Y59" s="158"/>
    </row>
    <row r="60" spans="1:25" ht="18" customHeight="1" thickBot="1" x14ac:dyDescent="0.6">
      <c r="B60" s="63">
        <f>D53+1</f>
        <v>1096</v>
      </c>
      <c r="C60" s="44" t="s">
        <v>2</v>
      </c>
      <c r="D60" s="75">
        <f>EDATE(D53,6)</f>
        <v>1277</v>
      </c>
      <c r="E60" s="45">
        <f>B60</f>
        <v>1096</v>
      </c>
      <c r="F60" s="44" t="s">
        <v>2</v>
      </c>
      <c r="G60" s="45">
        <f>E66-1</f>
        <v>1460</v>
      </c>
      <c r="H60" s="57">
        <f>G60-E60+1</f>
        <v>365</v>
      </c>
      <c r="I60" s="46">
        <f>I59</f>
        <v>0</v>
      </c>
      <c r="J60" s="145" t="e">
        <f>IF(B10,0.7%,"")</f>
        <v>#VALUE!</v>
      </c>
      <c r="K60" s="79" t="e">
        <f>ROUNDDOWN(I60*H60/365*J60,2)</f>
        <v>#VALUE!</v>
      </c>
      <c r="L60" s="148" t="e">
        <f>ROUNDDOWN(SUM(K60:K66),0)</f>
        <v>#VALUE!</v>
      </c>
      <c r="M60" s="63">
        <f>B60</f>
        <v>1096</v>
      </c>
      <c r="N60" s="44" t="s">
        <v>2</v>
      </c>
      <c r="O60" s="129"/>
      <c r="P60" s="47">
        <f>IF(O60-M60+1&lt;0,0,O60-M60+1)</f>
        <v>0</v>
      </c>
      <c r="Q60" s="131"/>
      <c r="R60" s="41" t="e">
        <f>MIN(J60,W60)</f>
        <v>#VALUE!</v>
      </c>
      <c r="S60" s="85" t="e">
        <f>ROUNDDOWN(Q60*P60/365*R60,2)</f>
        <v>#VALUE!</v>
      </c>
      <c r="T60" s="148" t="e">
        <f t="shared" ref="T60" si="32">ROUNDDOWN(SUM(S60:S66),0)</f>
        <v>#VALUE!</v>
      </c>
      <c r="U60" s="151" t="e">
        <f>MIN(L60,T60)</f>
        <v>#VALUE!</v>
      </c>
      <c r="W60" s="124"/>
      <c r="X60" s="87">
        <f>ROUNDDOWN(Q60*P60/365*W60,2)</f>
        <v>0</v>
      </c>
      <c r="Y60" s="156">
        <f>ROUNDDOWN(SUM(X60:X66),0)</f>
        <v>0</v>
      </c>
    </row>
    <row r="61" spans="1:25" ht="18" customHeight="1" thickBot="1" x14ac:dyDescent="0.6">
      <c r="B61" s="64"/>
      <c r="D61" s="73"/>
      <c r="E61" s="10"/>
      <c r="F61" s="6"/>
      <c r="G61" s="10"/>
      <c r="H61" s="58"/>
      <c r="I61" s="24"/>
      <c r="J61" s="146"/>
      <c r="K61" s="60"/>
      <c r="L61" s="149"/>
      <c r="M61" s="64">
        <f>IF(ISBLANK(O60),M60,O60+1)</f>
        <v>1096</v>
      </c>
      <c r="N61" s="6" t="s">
        <v>2</v>
      </c>
      <c r="O61" s="129"/>
      <c r="P61" s="7">
        <f t="shared" ref="P61:P66" si="33">IF(O61-M61+1&lt;0,0,O61-M61+1)</f>
        <v>0</v>
      </c>
      <c r="Q61" s="131"/>
      <c r="R61" s="42" t="e">
        <f>MIN(J60,W61)</f>
        <v>#VALUE!</v>
      </c>
      <c r="S61" s="83" t="e">
        <f>ROUNDDOWN(Q61*P61/365*R61,2)</f>
        <v>#VALUE!</v>
      </c>
      <c r="T61" s="149"/>
      <c r="U61" s="152"/>
      <c r="W61" s="125"/>
      <c r="X61" s="87">
        <f t="shared" ref="X61:X66" si="34">ROUNDDOWN(Q61*P61/365*W61,2)</f>
        <v>0</v>
      </c>
      <c r="Y61" s="157"/>
    </row>
    <row r="62" spans="1:25" ht="18" customHeight="1" thickBot="1" x14ac:dyDescent="0.6">
      <c r="B62" s="64"/>
      <c r="D62" s="73"/>
      <c r="E62" s="10"/>
      <c r="F62" s="6"/>
      <c r="G62" s="10"/>
      <c r="H62" s="58"/>
      <c r="I62" s="24"/>
      <c r="J62" s="146"/>
      <c r="K62" s="60"/>
      <c r="L62" s="149"/>
      <c r="M62" s="64">
        <f t="shared" ref="M62:M66" si="35">IF(ISBLANK(O61),M61,O61+1)</f>
        <v>1096</v>
      </c>
      <c r="N62" s="6" t="s">
        <v>2</v>
      </c>
      <c r="O62" s="129"/>
      <c r="P62" s="7">
        <f t="shared" si="33"/>
        <v>0</v>
      </c>
      <c r="Q62" s="131"/>
      <c r="R62" s="42" t="e">
        <f>MIN(J60,W62)</f>
        <v>#VALUE!</v>
      </c>
      <c r="S62" s="83" t="e">
        <f t="shared" ref="S62:S65" si="36">ROUNDDOWN(Q62*P62/365*R62,2)</f>
        <v>#VALUE!</v>
      </c>
      <c r="T62" s="149"/>
      <c r="U62" s="152"/>
      <c r="W62" s="125"/>
      <c r="X62" s="87">
        <f t="shared" si="34"/>
        <v>0</v>
      </c>
      <c r="Y62" s="157"/>
    </row>
    <row r="63" spans="1:25" ht="18" customHeight="1" thickBot="1" x14ac:dyDescent="0.6">
      <c r="B63" s="64"/>
      <c r="D63" s="73"/>
      <c r="E63" s="10"/>
      <c r="F63" s="6"/>
      <c r="G63" s="10"/>
      <c r="H63" s="58"/>
      <c r="I63" s="24"/>
      <c r="J63" s="146"/>
      <c r="K63" s="60"/>
      <c r="L63" s="149"/>
      <c r="M63" s="64">
        <f t="shared" si="35"/>
        <v>1096</v>
      </c>
      <c r="N63" s="6" t="s">
        <v>2</v>
      </c>
      <c r="O63" s="129"/>
      <c r="P63" s="7">
        <f t="shared" si="33"/>
        <v>0</v>
      </c>
      <c r="Q63" s="131"/>
      <c r="R63" s="42" t="e">
        <f>MIN(J60,W63)</f>
        <v>#VALUE!</v>
      </c>
      <c r="S63" s="83" t="e">
        <f t="shared" si="36"/>
        <v>#VALUE!</v>
      </c>
      <c r="T63" s="149"/>
      <c r="U63" s="152"/>
      <c r="W63" s="125"/>
      <c r="X63" s="87">
        <f t="shared" si="34"/>
        <v>0</v>
      </c>
      <c r="Y63" s="157"/>
    </row>
    <row r="64" spans="1:25" ht="18" customHeight="1" thickBot="1" x14ac:dyDescent="0.6">
      <c r="B64" s="64"/>
      <c r="D64" s="73"/>
      <c r="E64" s="10"/>
      <c r="F64" s="6"/>
      <c r="G64" s="10"/>
      <c r="H64" s="58"/>
      <c r="I64" s="24"/>
      <c r="J64" s="146"/>
      <c r="K64" s="60"/>
      <c r="L64" s="149"/>
      <c r="M64" s="64">
        <f t="shared" si="35"/>
        <v>1096</v>
      </c>
      <c r="N64" s="6" t="s">
        <v>2</v>
      </c>
      <c r="O64" s="129"/>
      <c r="P64" s="7">
        <f t="shared" si="33"/>
        <v>0</v>
      </c>
      <c r="Q64" s="131"/>
      <c r="R64" s="42" t="e">
        <f>MIN(J60,W64)</f>
        <v>#VALUE!</v>
      </c>
      <c r="S64" s="83" t="e">
        <f t="shared" si="36"/>
        <v>#VALUE!</v>
      </c>
      <c r="T64" s="149"/>
      <c r="U64" s="152"/>
      <c r="W64" s="125"/>
      <c r="X64" s="87">
        <f t="shared" si="34"/>
        <v>0</v>
      </c>
      <c r="Y64" s="157"/>
    </row>
    <row r="65" spans="2:25" ht="18" customHeight="1" thickBot="1" x14ac:dyDescent="0.6">
      <c r="B65" s="64"/>
      <c r="C65" s="7"/>
      <c r="D65" s="73"/>
      <c r="E65" s="12"/>
      <c r="F65" s="6"/>
      <c r="G65" s="12"/>
      <c r="H65" s="58"/>
      <c r="I65" s="24"/>
      <c r="J65" s="146"/>
      <c r="K65" s="80"/>
      <c r="L65" s="149"/>
      <c r="M65" s="64">
        <f t="shared" si="35"/>
        <v>1096</v>
      </c>
      <c r="N65" s="6" t="s">
        <v>2</v>
      </c>
      <c r="O65" s="129"/>
      <c r="P65" s="7">
        <f t="shared" si="33"/>
        <v>0</v>
      </c>
      <c r="Q65" s="131"/>
      <c r="R65" s="42" t="e">
        <f>MIN(J60,W65)</f>
        <v>#VALUE!</v>
      </c>
      <c r="S65" s="83" t="e">
        <f t="shared" si="36"/>
        <v>#VALUE!</v>
      </c>
      <c r="T65" s="149"/>
      <c r="U65" s="152"/>
      <c r="W65" s="125"/>
      <c r="X65" s="87">
        <f t="shared" si="34"/>
        <v>0</v>
      </c>
      <c r="Y65" s="157"/>
    </row>
    <row r="66" spans="2:25" ht="18" customHeight="1" thickBot="1" x14ac:dyDescent="0.6">
      <c r="B66" s="65"/>
      <c r="C66" s="50"/>
      <c r="D66" s="74"/>
      <c r="E66" s="53">
        <f>IF(Sheet1!$F$8,EDATE(計算表!H6,42),EDATE(計算表!E10,48))</f>
        <v>1461</v>
      </c>
      <c r="F66" s="48" t="s">
        <v>2</v>
      </c>
      <c r="G66" s="53">
        <f>D60</f>
        <v>1277</v>
      </c>
      <c r="H66" s="59">
        <f>G66-E66+1</f>
        <v>-183</v>
      </c>
      <c r="I66" s="51">
        <f>IF(Sheet1!$F$8,$J$6*0.65,$J$6*0.6)</f>
        <v>0</v>
      </c>
      <c r="J66" s="153"/>
      <c r="K66" s="61" t="e">
        <f>ROUNDDOWN(I66*H66/365*J60,2)</f>
        <v>#VALUE!</v>
      </c>
      <c r="L66" s="154"/>
      <c r="M66" s="65">
        <f t="shared" si="35"/>
        <v>1096</v>
      </c>
      <c r="N66" s="48" t="s">
        <v>2</v>
      </c>
      <c r="O66" s="53">
        <f>D60</f>
        <v>1277</v>
      </c>
      <c r="P66" s="50">
        <f t="shared" si="33"/>
        <v>182</v>
      </c>
      <c r="Q66" s="131"/>
      <c r="R66" s="52" t="e">
        <f>MIN(J60,W66)</f>
        <v>#VALUE!</v>
      </c>
      <c r="S66" s="84" t="e">
        <f>ROUNDDOWN(Q66*P66/365*R66,2)</f>
        <v>#VALUE!</v>
      </c>
      <c r="T66" s="154"/>
      <c r="U66" s="155"/>
      <c r="W66" s="126"/>
      <c r="X66" s="88">
        <f t="shared" si="34"/>
        <v>0</v>
      </c>
      <c r="Y66" s="158"/>
    </row>
    <row r="67" spans="2:25" ht="18" customHeight="1" thickBot="1" x14ac:dyDescent="0.6">
      <c r="B67" s="63">
        <f>D60+1</f>
        <v>1278</v>
      </c>
      <c r="C67" s="44" t="s">
        <v>2</v>
      </c>
      <c r="D67" s="75">
        <f>EDATE(D60,6)</f>
        <v>1460</v>
      </c>
      <c r="E67" s="45">
        <f>B67</f>
        <v>1278</v>
      </c>
      <c r="F67" s="44" t="s">
        <v>2</v>
      </c>
      <c r="G67" s="45">
        <f>E73-1</f>
        <v>1642</v>
      </c>
      <c r="H67" s="57">
        <f>G67-E67+1</f>
        <v>365</v>
      </c>
      <c r="I67" s="46">
        <f>I66</f>
        <v>0</v>
      </c>
      <c r="J67" s="145" t="e">
        <f>IF(B10,0.7%,"")</f>
        <v>#VALUE!</v>
      </c>
      <c r="K67" s="79" t="e">
        <f>ROUNDDOWN(I67*H67/365*J67,2)</f>
        <v>#VALUE!</v>
      </c>
      <c r="L67" s="148" t="e">
        <f>ROUNDDOWN(SUM(K67:K73),0)</f>
        <v>#VALUE!</v>
      </c>
      <c r="M67" s="63">
        <f>B67</f>
        <v>1278</v>
      </c>
      <c r="N67" s="44" t="s">
        <v>2</v>
      </c>
      <c r="O67" s="129"/>
      <c r="P67" s="47">
        <f>IF(O67-M67+1&lt;0,0,O67-M67+1)</f>
        <v>0</v>
      </c>
      <c r="Q67" s="131"/>
      <c r="R67" s="41" t="e">
        <f>MIN(J67,W67)</f>
        <v>#VALUE!</v>
      </c>
      <c r="S67" s="85" t="e">
        <f>ROUNDDOWN(Q67*P67/365*R67,2)</f>
        <v>#VALUE!</v>
      </c>
      <c r="T67" s="148" t="e">
        <f t="shared" ref="T67" si="37">ROUNDDOWN(SUM(S67:S73),0)</f>
        <v>#VALUE!</v>
      </c>
      <c r="U67" s="151" t="e">
        <f>MIN(L67,T67)</f>
        <v>#VALUE!</v>
      </c>
      <c r="W67" s="124"/>
      <c r="X67" s="87">
        <f>ROUNDDOWN(Q67*P67/365*W67,2)</f>
        <v>0</v>
      </c>
      <c r="Y67" s="156">
        <f>ROUNDDOWN(SUM(X67:X73),0)</f>
        <v>0</v>
      </c>
    </row>
    <row r="68" spans="2:25" ht="18" customHeight="1" thickBot="1" x14ac:dyDescent="0.6">
      <c r="B68" s="64"/>
      <c r="D68" s="73"/>
      <c r="E68" s="10"/>
      <c r="F68" s="6"/>
      <c r="G68" s="10"/>
      <c r="H68" s="58"/>
      <c r="I68" s="24"/>
      <c r="J68" s="146"/>
      <c r="K68" s="60"/>
      <c r="L68" s="149"/>
      <c r="M68" s="64">
        <f>IF(ISBLANK(O67),M67,O67+1)</f>
        <v>1278</v>
      </c>
      <c r="N68" s="6" t="s">
        <v>2</v>
      </c>
      <c r="O68" s="129"/>
      <c r="P68" s="7">
        <f>IF(O68-M68+1&lt;0,0,O68-M68+1)</f>
        <v>0</v>
      </c>
      <c r="Q68" s="131"/>
      <c r="R68" s="42" t="e">
        <f>MIN(J67,W68)</f>
        <v>#VALUE!</v>
      </c>
      <c r="S68" s="83" t="e">
        <f>ROUNDDOWN(Q68*P68/365*R68,2)</f>
        <v>#VALUE!</v>
      </c>
      <c r="T68" s="149"/>
      <c r="U68" s="152"/>
      <c r="W68" s="125"/>
      <c r="X68" s="87">
        <f t="shared" ref="X68:X73" si="38">ROUNDDOWN(Q68*P68/365*W68,2)</f>
        <v>0</v>
      </c>
      <c r="Y68" s="157"/>
    </row>
    <row r="69" spans="2:25" ht="18" customHeight="1" thickBot="1" x14ac:dyDescent="0.6">
      <c r="B69" s="64"/>
      <c r="D69" s="73"/>
      <c r="E69" s="10"/>
      <c r="F69" s="6"/>
      <c r="G69" s="10"/>
      <c r="H69" s="58"/>
      <c r="I69" s="24"/>
      <c r="J69" s="146"/>
      <c r="K69" s="60"/>
      <c r="L69" s="149"/>
      <c r="M69" s="64">
        <f>IF(ISBLANK(O68),M68,O68+1)</f>
        <v>1278</v>
      </c>
      <c r="N69" s="6" t="s">
        <v>2</v>
      </c>
      <c r="O69" s="129"/>
      <c r="P69" s="7">
        <f t="shared" ref="P69:P72" si="39">IF(O69-M69+1&lt;0,0,O69-M69+1)</f>
        <v>0</v>
      </c>
      <c r="Q69" s="131"/>
      <c r="R69" s="42" t="e">
        <f>MIN(J67,W69)</f>
        <v>#VALUE!</v>
      </c>
      <c r="S69" s="83" t="e">
        <f t="shared" ref="S69:S72" si="40">ROUNDDOWN(Q69*P69/365*R69,2)</f>
        <v>#VALUE!</v>
      </c>
      <c r="T69" s="149"/>
      <c r="U69" s="152"/>
      <c r="W69" s="125"/>
      <c r="X69" s="87">
        <f t="shared" si="38"/>
        <v>0</v>
      </c>
      <c r="Y69" s="157"/>
    </row>
    <row r="70" spans="2:25" ht="18" customHeight="1" thickBot="1" x14ac:dyDescent="0.6">
      <c r="B70" s="64"/>
      <c r="D70" s="73"/>
      <c r="E70" s="10"/>
      <c r="F70" s="6"/>
      <c r="G70" s="10"/>
      <c r="H70" s="58"/>
      <c r="I70" s="24"/>
      <c r="J70" s="146"/>
      <c r="K70" s="60"/>
      <c r="L70" s="149"/>
      <c r="M70" s="64">
        <f t="shared" ref="M70:M73" si="41">IF(ISBLANK(O69),M69,O69+1)</f>
        <v>1278</v>
      </c>
      <c r="N70" s="6" t="s">
        <v>2</v>
      </c>
      <c r="O70" s="129"/>
      <c r="P70" s="7">
        <f t="shared" si="39"/>
        <v>0</v>
      </c>
      <c r="Q70" s="131"/>
      <c r="R70" s="42" t="e">
        <f>MIN(J67,W70)</f>
        <v>#VALUE!</v>
      </c>
      <c r="S70" s="83" t="e">
        <f t="shared" si="40"/>
        <v>#VALUE!</v>
      </c>
      <c r="T70" s="149"/>
      <c r="U70" s="152"/>
      <c r="W70" s="125"/>
      <c r="X70" s="87">
        <f t="shared" si="38"/>
        <v>0</v>
      </c>
      <c r="Y70" s="157"/>
    </row>
    <row r="71" spans="2:25" ht="18" customHeight="1" thickBot="1" x14ac:dyDescent="0.6">
      <c r="B71" s="64"/>
      <c r="D71" s="73"/>
      <c r="E71" s="10"/>
      <c r="F71" s="6"/>
      <c r="G71" s="10"/>
      <c r="H71" s="58"/>
      <c r="I71" s="24"/>
      <c r="J71" s="146"/>
      <c r="K71" s="60"/>
      <c r="L71" s="149"/>
      <c r="M71" s="64">
        <f t="shared" si="41"/>
        <v>1278</v>
      </c>
      <c r="N71" s="6" t="s">
        <v>2</v>
      </c>
      <c r="O71" s="129"/>
      <c r="P71" s="7">
        <f t="shared" si="39"/>
        <v>0</v>
      </c>
      <c r="Q71" s="131"/>
      <c r="R71" s="42" t="e">
        <f>MIN(J67,W71)</f>
        <v>#VALUE!</v>
      </c>
      <c r="S71" s="83" t="e">
        <f t="shared" si="40"/>
        <v>#VALUE!</v>
      </c>
      <c r="T71" s="149"/>
      <c r="U71" s="152"/>
      <c r="W71" s="125"/>
      <c r="X71" s="87">
        <f t="shared" si="38"/>
        <v>0</v>
      </c>
      <c r="Y71" s="157"/>
    </row>
    <row r="72" spans="2:25" ht="18" customHeight="1" thickBot="1" x14ac:dyDescent="0.6">
      <c r="B72" s="64"/>
      <c r="C72" s="7"/>
      <c r="D72" s="73"/>
      <c r="E72" s="12"/>
      <c r="F72" s="6"/>
      <c r="G72" s="12"/>
      <c r="H72" s="58"/>
      <c r="I72" s="24"/>
      <c r="J72" s="146"/>
      <c r="K72" s="80"/>
      <c r="L72" s="149"/>
      <c r="M72" s="64">
        <f t="shared" si="41"/>
        <v>1278</v>
      </c>
      <c r="N72" s="6" t="s">
        <v>2</v>
      </c>
      <c r="O72" s="129"/>
      <c r="P72" s="7">
        <f t="shared" si="39"/>
        <v>0</v>
      </c>
      <c r="Q72" s="131"/>
      <c r="R72" s="42" t="e">
        <f>MIN(J67,W72)</f>
        <v>#VALUE!</v>
      </c>
      <c r="S72" s="83" t="e">
        <f t="shared" si="40"/>
        <v>#VALUE!</v>
      </c>
      <c r="T72" s="149"/>
      <c r="U72" s="152"/>
      <c r="W72" s="125"/>
      <c r="X72" s="87">
        <f t="shared" si="38"/>
        <v>0</v>
      </c>
      <c r="Y72" s="157"/>
    </row>
    <row r="73" spans="2:25" ht="18" customHeight="1" thickBot="1" x14ac:dyDescent="0.6">
      <c r="B73" s="65"/>
      <c r="C73" s="50"/>
      <c r="D73" s="74"/>
      <c r="E73" s="53">
        <f>IF(Sheet1!$F$8,EDATE(計算表!H6,48),EDATE(計算表!E10,54))</f>
        <v>1643</v>
      </c>
      <c r="F73" s="48" t="s">
        <v>2</v>
      </c>
      <c r="G73" s="53">
        <f>D67</f>
        <v>1460</v>
      </c>
      <c r="H73" s="59">
        <f>G73-E73+1</f>
        <v>-182</v>
      </c>
      <c r="I73" s="51">
        <f>IF(Sheet1!$F$8,$J$6*0.6,$J$6*0.55)</f>
        <v>0</v>
      </c>
      <c r="J73" s="153"/>
      <c r="K73" s="61" t="e">
        <f>ROUNDDOWN(I73*H73/365*J67,2)</f>
        <v>#VALUE!</v>
      </c>
      <c r="L73" s="154"/>
      <c r="M73" s="65">
        <f t="shared" si="41"/>
        <v>1278</v>
      </c>
      <c r="N73" s="48" t="s">
        <v>2</v>
      </c>
      <c r="O73" s="53">
        <f>D67</f>
        <v>1460</v>
      </c>
      <c r="P73" s="50">
        <f>IF(O73-M73+1&lt;0,0,O73-M73+1)</f>
        <v>183</v>
      </c>
      <c r="Q73" s="131"/>
      <c r="R73" s="52" t="e">
        <f>MIN(J67,W73)</f>
        <v>#VALUE!</v>
      </c>
      <c r="S73" s="84" t="e">
        <f>ROUNDDOWN(Q73*P73/365*R73,2)</f>
        <v>#VALUE!</v>
      </c>
      <c r="T73" s="154"/>
      <c r="U73" s="155"/>
      <c r="W73" s="126"/>
      <c r="X73" s="88">
        <f t="shared" si="38"/>
        <v>0</v>
      </c>
      <c r="Y73" s="158"/>
    </row>
    <row r="74" spans="2:25" ht="18" customHeight="1" thickBot="1" x14ac:dyDescent="0.6">
      <c r="B74" s="63">
        <f>D67+1</f>
        <v>1461</v>
      </c>
      <c r="C74" s="44" t="s">
        <v>2</v>
      </c>
      <c r="D74" s="75">
        <f>EDATE(D67,6)</f>
        <v>1643</v>
      </c>
      <c r="E74" s="45">
        <f>B74</f>
        <v>1461</v>
      </c>
      <c r="F74" s="44" t="s">
        <v>2</v>
      </c>
      <c r="G74" s="45">
        <f>IF(Sheet1!$F$8,EDATE(E73,6)-1,EDATE(H6,60)-1)</f>
        <v>1826</v>
      </c>
      <c r="H74" s="57">
        <f>G74-E74+1</f>
        <v>366</v>
      </c>
      <c r="I74" s="46">
        <f>I73</f>
        <v>0</v>
      </c>
      <c r="J74" s="145" t="e">
        <f>IF(B10,0.7%,"")</f>
        <v>#VALUE!</v>
      </c>
      <c r="K74" s="79" t="e">
        <f>ROUNDDOWN(I74*H74/365*J74,2)</f>
        <v>#VALUE!</v>
      </c>
      <c r="L74" s="148" t="e">
        <f>ROUNDDOWN(SUM(K74:K80),0)</f>
        <v>#VALUE!</v>
      </c>
      <c r="M74" s="63">
        <f>B74</f>
        <v>1461</v>
      </c>
      <c r="N74" s="44" t="s">
        <v>2</v>
      </c>
      <c r="O74" s="129"/>
      <c r="P74" s="47">
        <f>IF(O74-M74+1&lt;0,0,O74-M74+1)</f>
        <v>0</v>
      </c>
      <c r="Q74" s="131"/>
      <c r="R74" s="41" t="e">
        <f>MIN(J74,W74)</f>
        <v>#VALUE!</v>
      </c>
      <c r="S74" s="85" t="e">
        <f>ROUNDDOWN(Q74*P74/365*R74,2)</f>
        <v>#VALUE!</v>
      </c>
      <c r="T74" s="148" t="e">
        <f t="shared" ref="T74" si="42">ROUNDDOWN(SUM(S74:S80),0)</f>
        <v>#VALUE!</v>
      </c>
      <c r="U74" s="151" t="e">
        <f>MIN(L74,T74)</f>
        <v>#VALUE!</v>
      </c>
      <c r="W74" s="124"/>
      <c r="X74" s="87">
        <f>ROUNDDOWN(Q74*P74/365*W74,2)</f>
        <v>0</v>
      </c>
      <c r="Y74" s="156">
        <f>ROUNDDOWN(SUM(X74:X80),0)</f>
        <v>0</v>
      </c>
    </row>
    <row r="75" spans="2:25" ht="18" customHeight="1" thickBot="1" x14ac:dyDescent="0.6">
      <c r="B75" s="64"/>
      <c r="D75" s="73"/>
      <c r="E75" s="10"/>
      <c r="F75" s="6"/>
      <c r="G75" s="10"/>
      <c r="H75" s="58"/>
      <c r="I75" s="24"/>
      <c r="J75" s="146"/>
      <c r="K75" s="60"/>
      <c r="L75" s="149"/>
      <c r="M75" s="64">
        <f>IF(ISBLANK(O74),M74,O74+1)</f>
        <v>1461</v>
      </c>
      <c r="N75" s="6" t="s">
        <v>2</v>
      </c>
      <c r="O75" s="129"/>
      <c r="P75" s="7">
        <f t="shared" ref="P75:P80" si="43">IF(O75-M75+1&lt;0,0,O75-M75+1)</f>
        <v>0</v>
      </c>
      <c r="Q75" s="131"/>
      <c r="R75" s="42" t="e">
        <f>MIN(J74,W75)</f>
        <v>#VALUE!</v>
      </c>
      <c r="S75" s="83" t="e">
        <f>ROUNDDOWN(Q75*P75/365*R75,2)</f>
        <v>#VALUE!</v>
      </c>
      <c r="T75" s="149"/>
      <c r="U75" s="152"/>
      <c r="W75" s="125"/>
      <c r="X75" s="87">
        <f t="shared" ref="X75:X80" si="44">ROUNDDOWN(Q75*P75/365*W75,2)</f>
        <v>0</v>
      </c>
      <c r="Y75" s="157"/>
    </row>
    <row r="76" spans="2:25" ht="18" customHeight="1" thickBot="1" x14ac:dyDescent="0.6">
      <c r="B76" s="64"/>
      <c r="D76" s="73"/>
      <c r="E76" s="10"/>
      <c r="F76" s="6"/>
      <c r="G76" s="10"/>
      <c r="H76" s="58"/>
      <c r="I76" s="24"/>
      <c r="J76" s="146"/>
      <c r="K76" s="60"/>
      <c r="L76" s="149"/>
      <c r="M76" s="64">
        <f t="shared" ref="M76:M80" si="45">IF(ISBLANK(O75),M75,O75+1)</f>
        <v>1461</v>
      </c>
      <c r="N76" s="6" t="s">
        <v>2</v>
      </c>
      <c r="O76" s="129"/>
      <c r="P76" s="7">
        <f t="shared" si="43"/>
        <v>0</v>
      </c>
      <c r="Q76" s="131"/>
      <c r="R76" s="42" t="e">
        <f>MIN(J74,W76)</f>
        <v>#VALUE!</v>
      </c>
      <c r="S76" s="83" t="e">
        <f t="shared" ref="S76:S79" si="46">ROUNDDOWN(Q76*P76/365*R76,2)</f>
        <v>#VALUE!</v>
      </c>
      <c r="T76" s="149"/>
      <c r="U76" s="152"/>
      <c r="W76" s="125"/>
      <c r="X76" s="87">
        <f t="shared" si="44"/>
        <v>0</v>
      </c>
      <c r="Y76" s="157"/>
    </row>
    <row r="77" spans="2:25" ht="18" customHeight="1" thickBot="1" x14ac:dyDescent="0.6">
      <c r="B77" s="64"/>
      <c r="D77" s="73"/>
      <c r="E77" s="10"/>
      <c r="F77" s="6"/>
      <c r="G77" s="10"/>
      <c r="H77" s="58"/>
      <c r="I77" s="24"/>
      <c r="J77" s="146"/>
      <c r="K77" s="60"/>
      <c r="L77" s="149"/>
      <c r="M77" s="64">
        <f t="shared" si="45"/>
        <v>1461</v>
      </c>
      <c r="N77" s="6" t="s">
        <v>2</v>
      </c>
      <c r="O77" s="129"/>
      <c r="P77" s="7">
        <f t="shared" si="43"/>
        <v>0</v>
      </c>
      <c r="Q77" s="131"/>
      <c r="R77" s="42" t="e">
        <f>MIN(J74,W77)</f>
        <v>#VALUE!</v>
      </c>
      <c r="S77" s="83" t="e">
        <f t="shared" si="46"/>
        <v>#VALUE!</v>
      </c>
      <c r="T77" s="149"/>
      <c r="U77" s="152"/>
      <c r="W77" s="125"/>
      <c r="X77" s="87">
        <f t="shared" si="44"/>
        <v>0</v>
      </c>
      <c r="Y77" s="157"/>
    </row>
    <row r="78" spans="2:25" ht="18" customHeight="1" thickBot="1" x14ac:dyDescent="0.6">
      <c r="B78" s="64"/>
      <c r="D78" s="73"/>
      <c r="E78" s="10"/>
      <c r="F78" s="6"/>
      <c r="G78" s="10"/>
      <c r="H78" s="58"/>
      <c r="I78" s="24"/>
      <c r="J78" s="146"/>
      <c r="K78" s="60"/>
      <c r="L78" s="149"/>
      <c r="M78" s="64">
        <f t="shared" si="45"/>
        <v>1461</v>
      </c>
      <c r="N78" s="6" t="s">
        <v>2</v>
      </c>
      <c r="O78" s="129"/>
      <c r="P78" s="7">
        <f t="shared" si="43"/>
        <v>0</v>
      </c>
      <c r="Q78" s="131"/>
      <c r="R78" s="42" t="e">
        <f>MIN(J74,W78)</f>
        <v>#VALUE!</v>
      </c>
      <c r="S78" s="83" t="e">
        <f t="shared" si="46"/>
        <v>#VALUE!</v>
      </c>
      <c r="T78" s="149"/>
      <c r="U78" s="152"/>
      <c r="W78" s="125"/>
      <c r="X78" s="87">
        <f t="shared" si="44"/>
        <v>0</v>
      </c>
      <c r="Y78" s="157"/>
    </row>
    <row r="79" spans="2:25" ht="18" customHeight="1" thickBot="1" x14ac:dyDescent="0.6">
      <c r="B79" s="64"/>
      <c r="C79" s="7"/>
      <c r="D79" s="73"/>
      <c r="E79" s="12"/>
      <c r="F79" s="6"/>
      <c r="G79" s="12"/>
      <c r="H79" s="58"/>
      <c r="I79" s="24"/>
      <c r="J79" s="146"/>
      <c r="K79" s="80"/>
      <c r="L79" s="149"/>
      <c r="M79" s="64">
        <f t="shared" si="45"/>
        <v>1461</v>
      </c>
      <c r="N79" s="6" t="s">
        <v>2</v>
      </c>
      <c r="O79" s="129"/>
      <c r="P79" s="7">
        <f t="shared" si="43"/>
        <v>0</v>
      </c>
      <c r="Q79" s="131"/>
      <c r="R79" s="42" t="e">
        <f>MIN(J74,W79)</f>
        <v>#VALUE!</v>
      </c>
      <c r="S79" s="83" t="e">
        <f t="shared" si="46"/>
        <v>#VALUE!</v>
      </c>
      <c r="T79" s="149"/>
      <c r="U79" s="152"/>
      <c r="W79" s="125"/>
      <c r="X79" s="87">
        <f t="shared" si="44"/>
        <v>0</v>
      </c>
      <c r="Y79" s="157"/>
    </row>
    <row r="80" spans="2:25" ht="18" customHeight="1" thickBot="1" x14ac:dyDescent="0.6">
      <c r="B80" s="65"/>
      <c r="C80" s="50"/>
      <c r="D80" s="74"/>
      <c r="E80" s="53" t="str">
        <f>IF(Sheet1!$F$8,EDATE(計算表!H6,54)," ")</f>
        <v xml:space="preserve"> </v>
      </c>
      <c r="F80" s="48" t="str">
        <f>IF(Sheet1!$F$8,"～","")</f>
        <v/>
      </c>
      <c r="G80" s="53" t="str">
        <f>IF(Sheet1!$F$8,D74,"")</f>
        <v/>
      </c>
      <c r="H80" s="59" t="str">
        <f>IF(Sheet1!$F$8,G80-E80+1,"")</f>
        <v/>
      </c>
      <c r="I80" s="51" t="str">
        <f>IF(Sheet1!$F$8,$J$6*0.55,"")</f>
        <v/>
      </c>
      <c r="J80" s="153"/>
      <c r="K80" s="61" t="str">
        <f>IF(Sheet1!$F$8, ROUNDDOWN(I80*H80/365*J74,2),"")</f>
        <v/>
      </c>
      <c r="L80" s="154"/>
      <c r="M80" s="65">
        <f t="shared" si="45"/>
        <v>1461</v>
      </c>
      <c r="N80" s="48" t="s">
        <v>2</v>
      </c>
      <c r="O80" s="53">
        <f>IF(Sheet1!$F$8,D74,G74)</f>
        <v>1826</v>
      </c>
      <c r="P80" s="50">
        <f t="shared" si="43"/>
        <v>366</v>
      </c>
      <c r="Q80" s="131"/>
      <c r="R80" s="52" t="e">
        <f>MIN(J74,W80)</f>
        <v>#VALUE!</v>
      </c>
      <c r="S80" s="84" t="e">
        <f>ROUNDDOWN(Q80*P80/365*R80,2)</f>
        <v>#VALUE!</v>
      </c>
      <c r="T80" s="154"/>
      <c r="U80" s="155"/>
      <c r="W80" s="126"/>
      <c r="X80" s="88">
        <f t="shared" si="44"/>
        <v>0</v>
      </c>
      <c r="Y80" s="158"/>
    </row>
    <row r="81" spans="2:25" ht="18" customHeight="1" thickBot="1" x14ac:dyDescent="0.6">
      <c r="B81" s="63" t="str">
        <f>IF(Sheet1!$F$8,D74+1,"")</f>
        <v/>
      </c>
      <c r="C81" s="44" t="str">
        <f>IF(Sheet1!$F$8,"～","")</f>
        <v/>
      </c>
      <c r="D81" s="75" t="str">
        <f>IF(Sheet1!$F$8,EDATE(D74,6),"")</f>
        <v/>
      </c>
      <c r="E81" s="45" t="str">
        <f>B81</f>
        <v/>
      </c>
      <c r="F81" s="44" t="str">
        <f>C81</f>
        <v/>
      </c>
      <c r="G81" s="45" t="str">
        <f>IF(Sheet1!$F$8,EDATE(H6,60)-1,"")</f>
        <v/>
      </c>
      <c r="H81" s="57" t="str">
        <f>IF(Sheet1!$F$8,G81-E81+1,"")</f>
        <v/>
      </c>
      <c r="I81" s="46" t="str">
        <f>I80</f>
        <v/>
      </c>
      <c r="J81" s="145" t="str">
        <f>IF(B81,0.7%,"")</f>
        <v/>
      </c>
      <c r="K81" s="79" t="str">
        <f>IF(Sheet1!$F$8, ROUNDDOWN(I81*H81/365*J81,2),"")</f>
        <v/>
      </c>
      <c r="L81" s="148" t="str">
        <f>IF(Sheet1!$F$8, ROUNDDOWN(SUM(K81:K87),0),"")</f>
        <v/>
      </c>
      <c r="M81" s="63" t="str">
        <f>B81</f>
        <v/>
      </c>
      <c r="N81" s="55" t="str">
        <f>C81</f>
        <v/>
      </c>
      <c r="O81" s="129"/>
      <c r="P81" s="47" t="str">
        <f>IF(Sheet1!$F$8,IF(O81-M81+1&lt;0,0,O81-M81+1),"")</f>
        <v/>
      </c>
      <c r="Q81" s="131"/>
      <c r="R81" s="56" t="str">
        <f>IF(Sheet1!$F$8, MIN(J81,W81),"")</f>
        <v/>
      </c>
      <c r="S81" s="85">
        <f>ROUNDDOWN(Q81*P81/365*R81,2)</f>
        <v>0</v>
      </c>
      <c r="T81" s="148" t="str">
        <f>IF(Sheet1!$F$8, ROUNDDOWN(SUM(S81:S87),0),"")</f>
        <v/>
      </c>
      <c r="U81" s="151" t="str">
        <f>IF(Sheet1!$F$8, MIN(L81,T81),"")</f>
        <v/>
      </c>
      <c r="W81" s="124"/>
      <c r="X81" s="87">
        <f>ROUNDDOWN(Q81*P81/365*W81,2)</f>
        <v>0</v>
      </c>
      <c r="Y81" s="156">
        <f>ROUNDDOWN(SUM(X81:X87),0)</f>
        <v>0</v>
      </c>
    </row>
    <row r="82" spans="2:25" ht="18" customHeight="1" thickBot="1" x14ac:dyDescent="0.6">
      <c r="B82" s="64"/>
      <c r="D82" s="73"/>
      <c r="E82" s="10"/>
      <c r="F82" s="6"/>
      <c r="G82" s="10"/>
      <c r="H82" s="58"/>
      <c r="I82" s="24"/>
      <c r="J82" s="146"/>
      <c r="K82" s="60"/>
      <c r="L82" s="149"/>
      <c r="M82" s="64" t="str">
        <f>IF(ISBLANK(O81),M81,O81+1)</f>
        <v/>
      </c>
      <c r="N82" s="54" t="str">
        <f>C81</f>
        <v/>
      </c>
      <c r="O82" s="129"/>
      <c r="P82" s="7" t="str">
        <f>IF(Sheet1!$F$8,IF(O82-M82+1&lt;0,0,O82-M82+1),"")</f>
        <v/>
      </c>
      <c r="Q82" s="131"/>
      <c r="R82" s="42" t="str">
        <f>IF(Sheet1!$F$8, MIN(J81,W82),"")</f>
        <v/>
      </c>
      <c r="S82" s="83">
        <f>ROUNDDOWN(Q82*P82/365*R82,2)</f>
        <v>0</v>
      </c>
      <c r="T82" s="149"/>
      <c r="U82" s="152"/>
      <c r="W82" s="125"/>
      <c r="X82" s="87">
        <f t="shared" ref="X82:X87" si="47">ROUNDDOWN(Q82*P82/365*W82,2)</f>
        <v>0</v>
      </c>
      <c r="Y82" s="157"/>
    </row>
    <row r="83" spans="2:25" ht="18" customHeight="1" thickBot="1" x14ac:dyDescent="0.6">
      <c r="B83" s="64"/>
      <c r="D83" s="73"/>
      <c r="E83" s="10"/>
      <c r="F83" s="6"/>
      <c r="G83" s="10"/>
      <c r="H83" s="58"/>
      <c r="I83" s="24"/>
      <c r="J83" s="146"/>
      <c r="K83" s="60"/>
      <c r="L83" s="149"/>
      <c r="M83" s="64" t="str">
        <f t="shared" ref="M83:M87" si="48">IF(ISBLANK(O82),M82,O82+1)</f>
        <v/>
      </c>
      <c r="N83" s="54" t="str">
        <f>C81</f>
        <v/>
      </c>
      <c r="O83" s="129"/>
      <c r="P83" s="7" t="str">
        <f>IF(Sheet1!$F$8,IF(O83-M83+1&lt;0,0,O83-M83+1),"")</f>
        <v/>
      </c>
      <c r="Q83" s="131"/>
      <c r="R83" s="42" t="str">
        <f>IF(Sheet1!$F$8, MIN(J81,W83),"")</f>
        <v/>
      </c>
      <c r="S83" s="83">
        <f t="shared" ref="S83:S86" si="49">ROUNDDOWN(Q83*P83/365*R83,2)</f>
        <v>0</v>
      </c>
      <c r="T83" s="149"/>
      <c r="U83" s="152"/>
      <c r="W83" s="125"/>
      <c r="X83" s="87">
        <f t="shared" si="47"/>
        <v>0</v>
      </c>
      <c r="Y83" s="157"/>
    </row>
    <row r="84" spans="2:25" ht="18" customHeight="1" thickBot="1" x14ac:dyDescent="0.6">
      <c r="B84" s="64"/>
      <c r="D84" s="73"/>
      <c r="E84" s="10"/>
      <c r="F84" s="6"/>
      <c r="G84" s="10"/>
      <c r="H84" s="58"/>
      <c r="I84" s="24"/>
      <c r="J84" s="146"/>
      <c r="K84" s="60"/>
      <c r="L84" s="149"/>
      <c r="M84" s="64" t="str">
        <f t="shared" si="48"/>
        <v/>
      </c>
      <c r="N84" s="54" t="str">
        <f>C81</f>
        <v/>
      </c>
      <c r="O84" s="129"/>
      <c r="P84" s="7" t="str">
        <f>IF(Sheet1!$F$8,IF(O84-M84+1&lt;0,0,O84-M84+1),"")</f>
        <v/>
      </c>
      <c r="Q84" s="131"/>
      <c r="R84" s="42" t="str">
        <f>IF(Sheet1!$F$8, MIN(J81,W84),"")</f>
        <v/>
      </c>
      <c r="S84" s="83">
        <f t="shared" si="49"/>
        <v>0</v>
      </c>
      <c r="T84" s="149"/>
      <c r="U84" s="152"/>
      <c r="W84" s="125"/>
      <c r="X84" s="87">
        <f t="shared" si="47"/>
        <v>0</v>
      </c>
      <c r="Y84" s="157"/>
    </row>
    <row r="85" spans="2:25" ht="18" customHeight="1" thickBot="1" x14ac:dyDescent="0.6">
      <c r="B85" s="64"/>
      <c r="D85" s="73"/>
      <c r="E85" s="10"/>
      <c r="F85" s="6"/>
      <c r="G85" s="10"/>
      <c r="H85" s="58"/>
      <c r="I85" s="24"/>
      <c r="J85" s="146"/>
      <c r="K85" s="60"/>
      <c r="L85" s="149"/>
      <c r="M85" s="64" t="str">
        <f t="shared" si="48"/>
        <v/>
      </c>
      <c r="N85" s="54" t="str">
        <f>C81</f>
        <v/>
      </c>
      <c r="O85" s="129"/>
      <c r="P85" s="7" t="str">
        <f>IF(Sheet1!$F$8,IF(O85-M85+1&lt;0,0,O85-M85+1),"")</f>
        <v/>
      </c>
      <c r="Q85" s="131"/>
      <c r="R85" s="42" t="str">
        <f>IF(Sheet1!$F$8, MIN(J81,W85),"")</f>
        <v/>
      </c>
      <c r="S85" s="83">
        <f t="shared" si="49"/>
        <v>0</v>
      </c>
      <c r="T85" s="149"/>
      <c r="U85" s="152"/>
      <c r="W85" s="125"/>
      <c r="X85" s="87">
        <f t="shared" si="47"/>
        <v>0</v>
      </c>
      <c r="Y85" s="157"/>
    </row>
    <row r="86" spans="2:25" ht="18" customHeight="1" thickBot="1" x14ac:dyDescent="0.6">
      <c r="B86" s="64"/>
      <c r="C86" s="7"/>
      <c r="D86" s="73"/>
      <c r="E86" s="12"/>
      <c r="F86" s="6"/>
      <c r="G86" s="12"/>
      <c r="H86" s="58"/>
      <c r="I86" s="24"/>
      <c r="J86" s="146"/>
      <c r="K86" s="80"/>
      <c r="L86" s="149"/>
      <c r="M86" s="64" t="str">
        <f t="shared" si="48"/>
        <v/>
      </c>
      <c r="N86" s="54" t="str">
        <f>C81</f>
        <v/>
      </c>
      <c r="O86" s="129"/>
      <c r="P86" s="7" t="str">
        <f>IF(Sheet1!$F$8,IF(O86-M86+1&lt;0,0,O86-M86+1),"")</f>
        <v/>
      </c>
      <c r="Q86" s="131"/>
      <c r="R86" s="42" t="str">
        <f>IF(Sheet1!$F$8, MIN(J81,W86),"")</f>
        <v/>
      </c>
      <c r="S86" s="83">
        <f t="shared" si="49"/>
        <v>0</v>
      </c>
      <c r="T86" s="149"/>
      <c r="U86" s="152"/>
      <c r="W86" s="125"/>
      <c r="X86" s="87">
        <f t="shared" si="47"/>
        <v>0</v>
      </c>
      <c r="Y86" s="157"/>
    </row>
    <row r="87" spans="2:25" ht="18" customHeight="1" thickBot="1" x14ac:dyDescent="0.6">
      <c r="B87" s="66"/>
      <c r="C87" s="69"/>
      <c r="D87" s="100"/>
      <c r="E87" s="68"/>
      <c r="F87" s="71"/>
      <c r="G87" s="68"/>
      <c r="H87" s="78"/>
      <c r="I87" s="72"/>
      <c r="J87" s="147"/>
      <c r="K87" s="81"/>
      <c r="L87" s="150"/>
      <c r="M87" s="66" t="str">
        <f t="shared" si="48"/>
        <v/>
      </c>
      <c r="N87" s="67" t="str">
        <f>C81</f>
        <v/>
      </c>
      <c r="O87" s="68" t="str">
        <f>G81</f>
        <v/>
      </c>
      <c r="P87" s="69" t="str">
        <f>IF(Sheet1!$F$8,IF(O87-M87+1&lt;0,0,O87-M87+1),"")</f>
        <v/>
      </c>
      <c r="Q87" s="131"/>
      <c r="R87" s="70" t="str">
        <f>IF(Sheet1!$F$8, MIN(J81,W87),"")</f>
        <v/>
      </c>
      <c r="S87" s="86">
        <f>ROUNDDOWN(Q87*P87/365*R87,2)</f>
        <v>0</v>
      </c>
      <c r="T87" s="150"/>
      <c r="U87" s="152"/>
      <c r="W87" s="126"/>
      <c r="X87" s="88">
        <f t="shared" si="47"/>
        <v>0</v>
      </c>
      <c r="Y87" s="158"/>
    </row>
    <row r="88" spans="2:25" ht="18" customHeight="1" thickBot="1" x14ac:dyDescent="0.6">
      <c r="B88" s="142" t="s">
        <v>31</v>
      </c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4"/>
      <c r="U88" s="101" t="e">
        <f>SUM(U10:U87)</f>
        <v>#VALUE!</v>
      </c>
      <c r="W88" s="164" t="s">
        <v>31</v>
      </c>
      <c r="X88" s="164"/>
      <c r="Y88" s="43">
        <f>SUM(Y10:Y87)</f>
        <v>0</v>
      </c>
    </row>
    <row r="89" spans="2:25" ht="18" customHeight="1" x14ac:dyDescent="0.55000000000000004">
      <c r="E89" s="10"/>
      <c r="F89" s="6"/>
      <c r="G89" s="10"/>
      <c r="H89" s="23"/>
      <c r="I89" s="25"/>
      <c r="J89" s="26"/>
      <c r="K89" s="27"/>
      <c r="L89" s="25"/>
      <c r="M89" s="10"/>
      <c r="N89" s="6"/>
      <c r="O89" s="10"/>
      <c r="P89" s="23"/>
      <c r="Q89" s="25"/>
      <c r="R89" s="26"/>
      <c r="S89" s="28"/>
      <c r="T89" s="25"/>
      <c r="U89" s="25"/>
      <c r="W89" s="29"/>
      <c r="X89" s="25"/>
      <c r="Y89" s="25"/>
    </row>
    <row r="90" spans="2:25" ht="18" customHeight="1" x14ac:dyDescent="0.55000000000000004">
      <c r="B90" s="121" t="s">
        <v>105</v>
      </c>
      <c r="E90" s="10"/>
      <c r="F90" s="6"/>
      <c r="G90" s="10"/>
      <c r="H90" s="23"/>
      <c r="I90" s="25"/>
      <c r="J90" s="26"/>
      <c r="K90" s="27"/>
      <c r="L90" s="25"/>
      <c r="M90" s="10"/>
      <c r="N90" s="6"/>
      <c r="O90" s="10"/>
      <c r="P90" s="23"/>
      <c r="Q90" s="25"/>
      <c r="R90" s="26"/>
      <c r="S90" s="28"/>
      <c r="T90" s="25"/>
      <c r="U90" s="25"/>
      <c r="W90" s="29"/>
      <c r="X90" s="25"/>
      <c r="Y90" s="25"/>
    </row>
    <row r="91" spans="2:25" ht="18" customHeight="1" x14ac:dyDescent="0.55000000000000004">
      <c r="B91" s="122" t="s">
        <v>106</v>
      </c>
      <c r="E91" s="10"/>
      <c r="F91" s="6"/>
      <c r="G91" s="10"/>
      <c r="H91" s="23"/>
      <c r="I91" s="25"/>
      <c r="J91" s="26"/>
      <c r="K91" s="27"/>
      <c r="L91" s="25"/>
      <c r="M91" s="10"/>
      <c r="N91" s="6"/>
      <c r="O91" s="10"/>
      <c r="P91" s="23"/>
      <c r="Q91" s="25"/>
      <c r="R91" s="26"/>
      <c r="S91" s="28"/>
      <c r="T91" s="25"/>
      <c r="U91" s="25"/>
      <c r="W91" s="29"/>
      <c r="X91" s="25"/>
      <c r="Y91" s="25"/>
    </row>
    <row r="92" spans="2:25" ht="18" customHeight="1" x14ac:dyDescent="0.55000000000000004">
      <c r="C92" s="132"/>
      <c r="D92" s="120" t="s">
        <v>103</v>
      </c>
      <c r="E92" s="10"/>
      <c r="F92" s="6"/>
      <c r="G92" s="10"/>
      <c r="H92" s="23"/>
      <c r="I92" s="25"/>
      <c r="J92" s="26"/>
      <c r="K92" s="27"/>
      <c r="L92" s="25"/>
      <c r="M92" s="10"/>
      <c r="N92" s="6"/>
      <c r="O92" s="10"/>
      <c r="P92" s="23"/>
      <c r="Q92" s="25"/>
      <c r="R92" s="26"/>
      <c r="S92" s="28"/>
      <c r="T92" s="25"/>
      <c r="U92" s="25"/>
      <c r="W92" s="29"/>
      <c r="X92" s="25"/>
      <c r="Y92" s="25"/>
    </row>
    <row r="93" spans="2:25" ht="18" customHeight="1" x14ac:dyDescent="0.55000000000000004">
      <c r="C93" s="132"/>
      <c r="D93" s="120" t="s">
        <v>104</v>
      </c>
      <c r="E93" s="10"/>
      <c r="F93" s="6"/>
      <c r="G93" s="10"/>
      <c r="H93" s="23"/>
      <c r="I93" s="25"/>
      <c r="J93" s="26"/>
      <c r="K93" s="27"/>
      <c r="L93" s="25"/>
      <c r="M93" s="10"/>
      <c r="N93" s="6"/>
      <c r="O93" s="10"/>
      <c r="P93" s="23"/>
      <c r="Q93" s="25"/>
      <c r="R93" s="26"/>
      <c r="S93" s="28"/>
      <c r="T93" s="25"/>
      <c r="U93" s="25"/>
      <c r="W93" s="29"/>
      <c r="X93" s="25"/>
      <c r="Y93" s="25"/>
    </row>
    <row r="94" spans="2:25" ht="18" customHeight="1" x14ac:dyDescent="0.55000000000000004">
      <c r="B94" s="122" t="s">
        <v>107</v>
      </c>
      <c r="C94" s="133"/>
      <c r="E94" s="10"/>
      <c r="F94" s="6"/>
      <c r="G94" s="10"/>
      <c r="H94" s="23"/>
      <c r="I94" s="25"/>
      <c r="J94" s="26"/>
      <c r="K94" s="27"/>
      <c r="L94" s="25"/>
      <c r="M94" s="10"/>
      <c r="N94" s="6"/>
      <c r="O94" s="10"/>
      <c r="P94" s="23"/>
      <c r="Q94" s="25"/>
      <c r="R94" s="26"/>
      <c r="S94" s="28"/>
      <c r="T94" s="25"/>
      <c r="U94" s="25"/>
      <c r="W94" s="29"/>
      <c r="X94" s="25"/>
      <c r="Y94" s="25"/>
    </row>
    <row r="95" spans="2:25" ht="18" customHeight="1" x14ac:dyDescent="0.55000000000000004">
      <c r="C95" s="132"/>
      <c r="D95" s="120" t="s">
        <v>108</v>
      </c>
      <c r="E95" s="10"/>
      <c r="F95" s="6"/>
      <c r="G95" s="10"/>
      <c r="H95" s="23"/>
      <c r="I95" s="25"/>
      <c r="J95" s="26"/>
      <c r="K95" s="27"/>
      <c r="L95" s="25"/>
      <c r="M95" s="10"/>
      <c r="N95" s="6"/>
      <c r="O95" s="10"/>
      <c r="P95" s="23"/>
      <c r="Q95" s="25"/>
      <c r="R95" s="26"/>
      <c r="S95" s="28"/>
      <c r="T95" s="25"/>
      <c r="U95" s="25"/>
      <c r="W95" s="29"/>
      <c r="X95" s="25"/>
      <c r="Y95" s="25"/>
    </row>
    <row r="96" spans="2:25" ht="18" customHeight="1" x14ac:dyDescent="0.55000000000000004">
      <c r="C96" s="132"/>
      <c r="D96" s="120" t="s">
        <v>109</v>
      </c>
      <c r="E96" s="10"/>
      <c r="F96" s="6"/>
      <c r="G96" s="10"/>
      <c r="H96" s="23"/>
      <c r="I96" s="25"/>
      <c r="J96" s="26"/>
      <c r="K96" s="27"/>
      <c r="L96" s="25"/>
      <c r="M96" s="10"/>
      <c r="N96" s="6"/>
      <c r="O96" s="10"/>
      <c r="P96" s="23"/>
      <c r="Q96" s="25"/>
      <c r="R96" s="26"/>
      <c r="S96" s="28"/>
      <c r="T96" s="25"/>
      <c r="U96" s="25"/>
      <c r="W96" s="29"/>
      <c r="X96" s="25"/>
      <c r="Y96" s="25"/>
    </row>
    <row r="97" spans="2:25" ht="18" customHeight="1" x14ac:dyDescent="0.55000000000000004">
      <c r="B97" s="122" t="s">
        <v>110</v>
      </c>
      <c r="C97" s="133"/>
      <c r="E97" s="10"/>
      <c r="F97" s="6"/>
      <c r="G97" s="10"/>
      <c r="H97" s="23"/>
      <c r="I97" s="25"/>
      <c r="J97" s="26"/>
      <c r="K97" s="27"/>
      <c r="L97" s="25"/>
      <c r="M97" s="10"/>
      <c r="N97" s="6"/>
      <c r="O97" s="10"/>
      <c r="P97" s="23"/>
      <c r="Q97" s="25"/>
      <c r="R97" s="26"/>
      <c r="S97" s="28"/>
      <c r="T97" s="25"/>
      <c r="U97" s="25"/>
      <c r="W97" s="29"/>
      <c r="X97" s="25"/>
      <c r="Y97" s="25"/>
    </row>
    <row r="98" spans="2:25" ht="18" customHeight="1" x14ac:dyDescent="0.55000000000000004">
      <c r="C98" s="132"/>
      <c r="D98" s="120" t="s">
        <v>111</v>
      </c>
      <c r="E98" s="10"/>
      <c r="F98" s="6"/>
      <c r="G98" s="10"/>
      <c r="H98" s="23"/>
      <c r="I98" s="25"/>
      <c r="J98" s="26"/>
      <c r="K98" s="27"/>
      <c r="L98" s="25"/>
      <c r="M98" s="10"/>
      <c r="N98" s="6"/>
      <c r="O98" s="10"/>
      <c r="P98" s="23"/>
      <c r="Q98" s="25"/>
      <c r="R98" s="26"/>
      <c r="S98" s="28"/>
      <c r="T98" s="25"/>
      <c r="U98" s="25"/>
      <c r="W98" s="29"/>
      <c r="X98" s="25"/>
      <c r="Y98" s="25"/>
    </row>
    <row r="99" spans="2:25" ht="18" customHeight="1" x14ac:dyDescent="0.55000000000000004">
      <c r="C99" s="132"/>
      <c r="D99" s="120" t="s">
        <v>112</v>
      </c>
      <c r="E99" s="10"/>
      <c r="F99" s="6"/>
      <c r="G99" s="10"/>
      <c r="H99" s="23"/>
      <c r="I99" s="25"/>
      <c r="J99" s="26"/>
      <c r="K99" s="27"/>
      <c r="L99" s="25"/>
      <c r="M99" s="10"/>
      <c r="N99" s="6"/>
      <c r="O99" s="10"/>
      <c r="P99" s="23"/>
      <c r="Q99" s="25"/>
      <c r="R99" s="26"/>
      <c r="S99" s="28"/>
      <c r="T99" s="25"/>
      <c r="U99" s="25"/>
      <c r="W99" s="29"/>
      <c r="X99" s="25"/>
      <c r="Y99" s="25"/>
    </row>
    <row r="100" spans="2:25" ht="18" customHeight="1" x14ac:dyDescent="0.55000000000000004">
      <c r="E100" s="10"/>
      <c r="F100" s="6"/>
      <c r="G100" s="10"/>
      <c r="H100" s="23"/>
      <c r="I100" s="25"/>
      <c r="J100" s="26"/>
      <c r="K100" s="27"/>
      <c r="L100" s="25"/>
      <c r="M100" s="10"/>
      <c r="N100" s="6"/>
      <c r="O100" s="10"/>
      <c r="P100" s="23"/>
      <c r="Q100" s="25"/>
      <c r="R100" s="26"/>
      <c r="S100" s="28"/>
      <c r="T100" s="25"/>
      <c r="U100" s="25"/>
      <c r="W100" s="29"/>
      <c r="X100" s="25"/>
      <c r="Y100" s="25"/>
    </row>
    <row r="101" spans="2:25" ht="18" customHeight="1" x14ac:dyDescent="0.55000000000000004">
      <c r="E101" s="10"/>
      <c r="F101" s="6"/>
      <c r="G101" s="10"/>
      <c r="H101" s="23"/>
      <c r="I101" s="25"/>
      <c r="J101" s="26"/>
      <c r="K101" s="27"/>
      <c r="L101" s="25"/>
      <c r="M101" s="10"/>
      <c r="N101" s="6"/>
      <c r="O101" s="10"/>
      <c r="P101" s="23"/>
      <c r="Q101" s="25"/>
      <c r="R101" s="26"/>
      <c r="S101" s="28"/>
      <c r="T101" s="25"/>
      <c r="U101" s="25"/>
      <c r="W101" s="29"/>
      <c r="X101" s="25"/>
      <c r="Y101" s="25"/>
    </row>
  </sheetData>
  <sheetProtection algorithmName="SHA-512" hashValue="GgkLwFR0FehnI3DGUoph6JZxjbOXCFCs00Bx5uovTWRvdhFE94nyuA0FXAWGQPeK1TwpCbJhdFzqHyFLRGRg6g==" saltValue="NRGXXXf+IOyw+mWrHsfBQg==" spinCount="100000" sheet="1" selectLockedCells="1" autoFilter="0"/>
  <mergeCells count="78">
    <mergeCell ref="W88:X88"/>
    <mergeCell ref="A3:Y3"/>
    <mergeCell ref="M5:O5"/>
    <mergeCell ref="M8:T8"/>
    <mergeCell ref="M9:O9"/>
    <mergeCell ref="X8:Y8"/>
    <mergeCell ref="W8:W9"/>
    <mergeCell ref="M6:O6"/>
    <mergeCell ref="B8:D9"/>
    <mergeCell ref="E9:G9"/>
    <mergeCell ref="B5:D5"/>
    <mergeCell ref="B6:D6"/>
    <mergeCell ref="E8:L8"/>
    <mergeCell ref="H5:I5"/>
    <mergeCell ref="J5:K5"/>
    <mergeCell ref="E6:G6"/>
    <mergeCell ref="H6:I6"/>
    <mergeCell ref="Y10:Y17"/>
    <mergeCell ref="J18:J24"/>
    <mergeCell ref="L18:L24"/>
    <mergeCell ref="T18:T24"/>
    <mergeCell ref="U18:U24"/>
    <mergeCell ref="Y18:Y24"/>
    <mergeCell ref="L10:L17"/>
    <mergeCell ref="J10:J17"/>
    <mergeCell ref="T10:T17"/>
    <mergeCell ref="U10:U17"/>
    <mergeCell ref="J6:K6"/>
    <mergeCell ref="T6:U6"/>
    <mergeCell ref="J25:J31"/>
    <mergeCell ref="L25:L31"/>
    <mergeCell ref="T25:T31"/>
    <mergeCell ref="U25:U31"/>
    <mergeCell ref="Y25:Y31"/>
    <mergeCell ref="J32:J38"/>
    <mergeCell ref="L32:L38"/>
    <mergeCell ref="T32:T38"/>
    <mergeCell ref="U32:U38"/>
    <mergeCell ref="Y32:Y38"/>
    <mergeCell ref="L46:L52"/>
    <mergeCell ref="T46:T52"/>
    <mergeCell ref="U46:U52"/>
    <mergeCell ref="Y46:Y52"/>
    <mergeCell ref="T39:T45"/>
    <mergeCell ref="U39:U45"/>
    <mergeCell ref="Y39:Y45"/>
    <mergeCell ref="J39:J45"/>
    <mergeCell ref="L39:L45"/>
    <mergeCell ref="Y81:Y87"/>
    <mergeCell ref="J74:J80"/>
    <mergeCell ref="L74:L80"/>
    <mergeCell ref="T74:T80"/>
    <mergeCell ref="U74:U80"/>
    <mergeCell ref="Y74:Y80"/>
    <mergeCell ref="Y67:Y73"/>
    <mergeCell ref="J60:J66"/>
    <mergeCell ref="L60:L66"/>
    <mergeCell ref="T60:T66"/>
    <mergeCell ref="U60:U66"/>
    <mergeCell ref="Y60:Y66"/>
    <mergeCell ref="Y53:Y59"/>
    <mergeCell ref="J46:J52"/>
    <mergeCell ref="W5:Y5"/>
    <mergeCell ref="W6:Y6"/>
    <mergeCell ref="T5:U5"/>
    <mergeCell ref="B88:T88"/>
    <mergeCell ref="J81:J87"/>
    <mergeCell ref="L81:L87"/>
    <mergeCell ref="T81:T87"/>
    <mergeCell ref="U81:U87"/>
    <mergeCell ref="J67:J73"/>
    <mergeCell ref="L67:L73"/>
    <mergeCell ref="T67:T73"/>
    <mergeCell ref="U67:U73"/>
    <mergeCell ref="J53:J59"/>
    <mergeCell ref="L53:L59"/>
    <mergeCell ref="T53:T59"/>
    <mergeCell ref="U53:U59"/>
  </mergeCells>
  <phoneticPr fontId="1"/>
  <conditionalFormatting sqref="B6:L6">
    <cfRule type="cellIs" dxfId="3" priority="4" operator="equal">
      <formula>""</formula>
    </cfRule>
  </conditionalFormatting>
  <conditionalFormatting sqref="D10">
    <cfRule type="cellIs" dxfId="2" priority="3" operator="equal">
      <formula>""</formula>
    </cfRule>
  </conditionalFormatting>
  <conditionalFormatting sqref="T6:U6">
    <cfRule type="cellIs" dxfId="1" priority="1" operator="equal">
      <formula>""</formula>
    </cfRule>
  </conditionalFormatting>
  <conditionalFormatting sqref="W10:W87">
    <cfRule type="cellIs" dxfId="0" priority="2" operator="equal">
      <formula>""</formula>
    </cfRule>
  </conditionalFormatting>
  <dataValidations count="1">
    <dataValidation type="list" allowBlank="1" showInputMessage="1" showErrorMessage="1" sqref="L6" xr:uid="{0ACBA140-72A3-427D-8B73-A9D589A8957A}">
      <formula1>"固定,変動"</formula1>
    </dataValidation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50" fitToWidth="0" fitToHeight="0" orientation="landscape" r:id="rId1"/>
  <rowBreaks count="1" manualBreakCount="1">
    <brk id="5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91</xdr:row>
                    <xdr:rowOff>215900</xdr:rowOff>
                  </from>
                  <to>
                    <xdr:col>3</xdr:col>
                    <xdr:colOff>63500</xdr:colOff>
                    <xdr:row>93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94</xdr:row>
                    <xdr:rowOff>215900</xdr:rowOff>
                  </from>
                  <to>
                    <xdr:col>3</xdr:col>
                    <xdr:colOff>63500</xdr:colOff>
                    <xdr:row>96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97</xdr:row>
                    <xdr:rowOff>215900</xdr:rowOff>
                  </from>
                  <to>
                    <xdr:col>3</xdr:col>
                    <xdr:colOff>63500</xdr:colOff>
                    <xdr:row>99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2</xdr:col>
                    <xdr:colOff>0</xdr:colOff>
                    <xdr:row>90</xdr:row>
                    <xdr:rowOff>215900</xdr:rowOff>
                  </from>
                  <to>
                    <xdr:col>3</xdr:col>
                    <xdr:colOff>63500</xdr:colOff>
                    <xdr:row>92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93</xdr:row>
                    <xdr:rowOff>215900</xdr:rowOff>
                  </from>
                  <to>
                    <xdr:col>3</xdr:col>
                    <xdr:colOff>63500</xdr:colOff>
                    <xdr:row>95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96</xdr:row>
                    <xdr:rowOff>215900</xdr:rowOff>
                  </from>
                  <to>
                    <xdr:col>3</xdr:col>
                    <xdr:colOff>63500</xdr:colOff>
                    <xdr:row>98</xdr:row>
                    <xdr:rowOff>6350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22EEE9-1175-4965-9514-4F4C99A11F04}">
          <x14:formula1>
            <xm:f>Sheet1!$M$2:$M$6</xm:f>
          </x14:formula1>
          <xm:sqref>T6:U6</xm:sqref>
        </x14:dataValidation>
        <x14:dataValidation type="list" allowBlank="1" showInputMessage="1" showErrorMessage="1" xr:uid="{176BF741-AFB1-4DE3-8E18-4D01EFC2AB32}">
          <x14:formula1>
            <xm:f>Sheet1!$B$9:$B$10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D293-A5AB-44EF-B028-4FB54E46123E}">
  <sheetPr>
    <tabColor theme="2" tint="-0.499984740745262"/>
  </sheetPr>
  <dimension ref="A1:M33"/>
  <sheetViews>
    <sheetView workbookViewId="0">
      <selection activeCell="C39" sqref="C39"/>
    </sheetView>
  </sheetViews>
  <sheetFormatPr defaultColWidth="8.58203125" defaultRowHeight="13" x14ac:dyDescent="0.55000000000000004"/>
  <cols>
    <col min="1" max="1" width="21.58203125" style="34" bestFit="1" customWidth="1"/>
    <col min="2" max="2" width="17.33203125" style="34" customWidth="1"/>
    <col min="3" max="5" width="5.83203125" style="34" customWidth="1"/>
    <col min="6" max="16384" width="8.58203125" style="34"/>
  </cols>
  <sheetData>
    <row r="1" spans="1:13" ht="46.5" customHeight="1" thickBot="1" x14ac:dyDescent="0.6">
      <c r="J1" s="34" t="s">
        <v>100</v>
      </c>
    </row>
    <row r="2" spans="1:13" x14ac:dyDescent="0.55000000000000004">
      <c r="A2" s="102" t="s">
        <v>99</v>
      </c>
      <c r="B2" s="103"/>
      <c r="C2" s="104"/>
      <c r="D2" s="104"/>
      <c r="E2" s="104"/>
      <c r="F2" s="104"/>
      <c r="G2" s="104"/>
      <c r="H2" s="105"/>
      <c r="J2" s="37">
        <f>計算表!T6</f>
        <v>0</v>
      </c>
      <c r="M2" s="34" t="s">
        <v>0</v>
      </c>
    </row>
    <row r="3" spans="1:13" x14ac:dyDescent="0.55000000000000004">
      <c r="A3" s="106"/>
      <c r="B3" s="107"/>
      <c r="C3" s="108"/>
      <c r="D3" s="108"/>
      <c r="E3" s="108"/>
      <c r="F3" s="108"/>
      <c r="G3" s="40" t="b">
        <f>IF(OR(J2=M2,J2=M3),G14,IF(OR(J2=M4,J2=M5,J2=M6),G25))</f>
        <v>0</v>
      </c>
      <c r="H3" s="109"/>
      <c r="M3" s="34" t="s">
        <v>35</v>
      </c>
    </row>
    <row r="4" spans="1:13" x14ac:dyDescent="0.55000000000000004">
      <c r="A4" s="106"/>
      <c r="B4" s="107"/>
      <c r="C4" s="108"/>
      <c r="D4" s="108"/>
      <c r="E4" s="108"/>
      <c r="F4" s="108"/>
      <c r="G4" s="108"/>
      <c r="H4" s="109"/>
      <c r="M4" s="34" t="s">
        <v>36</v>
      </c>
    </row>
    <row r="5" spans="1:13" x14ac:dyDescent="0.55000000000000004">
      <c r="A5" s="106"/>
      <c r="B5" s="107"/>
      <c r="C5" s="108"/>
      <c r="D5" s="108"/>
      <c r="E5" s="108"/>
      <c r="F5" s="108"/>
      <c r="G5" s="108"/>
      <c r="H5" s="109"/>
      <c r="M5" s="34" t="s">
        <v>37</v>
      </c>
    </row>
    <row r="6" spans="1:13" x14ac:dyDescent="0.55000000000000004">
      <c r="A6" s="106"/>
      <c r="B6" s="107"/>
      <c r="C6" s="108"/>
      <c r="D6" s="108"/>
      <c r="E6" s="108"/>
      <c r="F6" s="108"/>
      <c r="G6" s="108"/>
      <c r="H6" s="109"/>
      <c r="M6" s="34" t="s">
        <v>92</v>
      </c>
    </row>
    <row r="7" spans="1:13" x14ac:dyDescent="0.55000000000000004">
      <c r="A7" s="106"/>
      <c r="B7" s="108"/>
      <c r="C7" s="108"/>
      <c r="D7" s="108"/>
      <c r="E7" s="108"/>
      <c r="F7" s="108"/>
      <c r="G7" s="108"/>
      <c r="H7" s="109"/>
    </row>
    <row r="8" spans="1:13" x14ac:dyDescent="0.55000000000000004">
      <c r="A8" s="106"/>
      <c r="B8" s="108" t="s">
        <v>34</v>
      </c>
      <c r="C8" s="108"/>
      <c r="D8" s="108"/>
      <c r="E8" s="108"/>
      <c r="F8" s="115" t="b">
        <f>IF(OR(J2=M2,J2=M3),F19,IF(OR(J2=M4,J2=M5,J2=M6),F30))</f>
        <v>0</v>
      </c>
      <c r="G8" s="108"/>
      <c r="H8" s="109"/>
    </row>
    <row r="9" spans="1:13" x14ac:dyDescent="0.55000000000000004">
      <c r="A9" s="106"/>
      <c r="B9" s="116" t="b">
        <f>IF(OR(J2=M2,J2=M3),B20,IF(OR(J2=M4,J2=M5,J2=M6),B31))</f>
        <v>0</v>
      </c>
      <c r="C9" s="108"/>
      <c r="D9" s="108"/>
      <c r="E9" s="108"/>
      <c r="F9" s="108"/>
      <c r="G9" s="108"/>
      <c r="H9" s="109"/>
    </row>
    <row r="10" spans="1:13" ht="13.5" thickBot="1" x14ac:dyDescent="0.6">
      <c r="A10" s="106"/>
      <c r="B10" s="116" t="b">
        <f>IF(OR(J2=M2,J2=M3),B21,IF(OR(J2=M4,J2=M5,J2=M6),B32))</f>
        <v>0</v>
      </c>
      <c r="C10" s="108"/>
      <c r="D10" s="108"/>
      <c r="E10" s="108"/>
      <c r="F10" s="108"/>
      <c r="G10" s="108"/>
      <c r="H10" s="109"/>
    </row>
    <row r="11" spans="1:13" ht="13.5" thickBot="1" x14ac:dyDescent="0.6">
      <c r="A11" s="110"/>
      <c r="B11" s="113" t="b">
        <f>IF(OR(J2=M2,J2=M3),B22,IF(OR(J2=M4,J2=M5,J2=M6),B33))</f>
        <v>0</v>
      </c>
      <c r="C11" s="111"/>
      <c r="D11" s="111"/>
      <c r="E11" s="111"/>
      <c r="F11" s="111"/>
      <c r="G11" s="111"/>
      <c r="H11" s="112"/>
    </row>
    <row r="12" spans="1:13" ht="13.5" thickBot="1" x14ac:dyDescent="0.6">
      <c r="A12" s="108"/>
      <c r="B12" s="114"/>
      <c r="C12" s="108"/>
      <c r="D12" s="108"/>
      <c r="E12" s="108"/>
      <c r="F12" s="108"/>
      <c r="G12" s="108"/>
      <c r="H12" s="108"/>
    </row>
    <row r="13" spans="1:13" x14ac:dyDescent="0.55000000000000004">
      <c r="A13" s="102" t="s">
        <v>94</v>
      </c>
      <c r="B13" s="103">
        <f>計算表!H6</f>
        <v>0</v>
      </c>
      <c r="C13" s="104" t="s">
        <v>32</v>
      </c>
      <c r="D13" s="104"/>
      <c r="E13" s="104"/>
      <c r="F13" s="104" t="s">
        <v>33</v>
      </c>
      <c r="G13" s="104"/>
      <c r="H13" s="105"/>
    </row>
    <row r="14" spans="1:13" x14ac:dyDescent="0.55000000000000004">
      <c r="A14" s="106"/>
      <c r="B14" s="107">
        <f>計算表!H6</f>
        <v>0</v>
      </c>
      <c r="C14" s="108">
        <f>YEAR(B14)</f>
        <v>1900</v>
      </c>
      <c r="D14" s="108">
        <f>MONTH(B14)</f>
        <v>1</v>
      </c>
      <c r="E14" s="108">
        <f>DAY(B14)</f>
        <v>0</v>
      </c>
      <c r="F14" s="108"/>
      <c r="G14" s="119" t="str">
        <f>IF(OR(AND(D14=8,E14&gt;=11),AND(D14=9,E14&lt;=10),AND(D14=2,E14&gt;=11),AND(D14=3,E14&lt;=10)),"特","")</f>
        <v/>
      </c>
      <c r="H14" s="109"/>
    </row>
    <row r="15" spans="1:13" x14ac:dyDescent="0.55000000000000004">
      <c r="A15" s="106"/>
      <c r="B15" s="107">
        <f>DATE(C14,3,10)</f>
        <v>70</v>
      </c>
      <c r="C15" s="108">
        <f>B15-B$14</f>
        <v>70</v>
      </c>
      <c r="D15" s="108"/>
      <c r="E15" s="108"/>
      <c r="F15" s="108"/>
      <c r="G15" s="108"/>
      <c r="H15" s="109"/>
    </row>
    <row r="16" spans="1:13" x14ac:dyDescent="0.55000000000000004">
      <c r="A16" s="106"/>
      <c r="B16" s="107">
        <f>DATE(C14,9,10)</f>
        <v>254</v>
      </c>
      <c r="C16" s="108">
        <f>B16-B$14</f>
        <v>254</v>
      </c>
      <c r="D16" s="108"/>
      <c r="E16" s="108"/>
      <c r="F16" s="108"/>
      <c r="G16" s="108"/>
      <c r="H16" s="109"/>
    </row>
    <row r="17" spans="1:8" x14ac:dyDescent="0.55000000000000004">
      <c r="A17" s="106"/>
      <c r="B17" s="107">
        <f>DATE(C14+1,3,10)</f>
        <v>435</v>
      </c>
      <c r="C17" s="108">
        <f>B17-B$14</f>
        <v>435</v>
      </c>
      <c r="D17" s="108"/>
      <c r="E17" s="108"/>
      <c r="F17" s="108"/>
      <c r="G17" s="108"/>
      <c r="H17" s="109"/>
    </row>
    <row r="18" spans="1:8" x14ac:dyDescent="0.55000000000000004">
      <c r="A18" s="106"/>
      <c r="B18" s="108"/>
      <c r="C18" s="108"/>
      <c r="D18" s="108"/>
      <c r="E18" s="108"/>
      <c r="F18" s="108"/>
      <c r="G18" s="108"/>
      <c r="H18" s="109"/>
    </row>
    <row r="19" spans="1:8" x14ac:dyDescent="0.55000000000000004">
      <c r="A19" s="106"/>
      <c r="B19" s="108" t="s">
        <v>34</v>
      </c>
      <c r="C19" s="108"/>
      <c r="D19" s="108"/>
      <c r="E19" s="108"/>
      <c r="F19" s="108" t="b">
        <f>(計算表!G17=Sheet1!B20)</f>
        <v>0</v>
      </c>
      <c r="G19" s="108"/>
      <c r="H19" s="109"/>
    </row>
    <row r="20" spans="1:8" x14ac:dyDescent="0.55000000000000004">
      <c r="A20" s="106"/>
      <c r="B20" s="107">
        <f>IF(C15&gt;=0,B15,IF(C16&gt;=0,B16,B17))</f>
        <v>70</v>
      </c>
      <c r="C20" s="108"/>
      <c r="D20" s="108"/>
      <c r="E20" s="108"/>
      <c r="F20" s="108"/>
      <c r="G20" s="108"/>
      <c r="H20" s="109"/>
    </row>
    <row r="21" spans="1:8" ht="13.5" thickBot="1" x14ac:dyDescent="0.6">
      <c r="A21" s="106"/>
      <c r="B21" s="107" t="str">
        <f>IF(G14="特",EDATE(B20,6),"")</f>
        <v/>
      </c>
      <c r="C21" s="108"/>
      <c r="D21" s="108"/>
      <c r="E21" s="108"/>
      <c r="F21" s="108"/>
      <c r="G21" s="108"/>
      <c r="H21" s="109"/>
    </row>
    <row r="22" spans="1:8" ht="13.5" thickBot="1" x14ac:dyDescent="0.6">
      <c r="A22" s="110"/>
      <c r="B22" s="117">
        <f>IF(G14="特",B21,B20)</f>
        <v>70</v>
      </c>
      <c r="C22" s="111"/>
      <c r="D22" s="111"/>
      <c r="E22" s="111"/>
      <c r="F22" s="111"/>
      <c r="G22" s="111"/>
      <c r="H22" s="112"/>
    </row>
    <row r="23" spans="1:8" ht="13.5" thickBot="1" x14ac:dyDescent="0.6">
      <c r="B23" s="39"/>
    </row>
    <row r="24" spans="1:8" x14ac:dyDescent="0.55000000000000004">
      <c r="A24" s="102" t="s">
        <v>95</v>
      </c>
      <c r="B24" s="103">
        <f>計算表!H6</f>
        <v>0</v>
      </c>
      <c r="C24" s="104" t="s">
        <v>97</v>
      </c>
      <c r="D24" s="104"/>
      <c r="E24" s="104"/>
      <c r="F24" s="104" t="s">
        <v>101</v>
      </c>
      <c r="G24" s="104"/>
      <c r="H24" s="105"/>
    </row>
    <row r="25" spans="1:8" x14ac:dyDescent="0.55000000000000004">
      <c r="A25" s="106" t="s">
        <v>96</v>
      </c>
      <c r="B25" s="107">
        <f>計算表!H6</f>
        <v>0</v>
      </c>
      <c r="C25" s="108">
        <f>YEAR(B25)</f>
        <v>1900</v>
      </c>
      <c r="D25" s="108">
        <f>MONTH(B25)</f>
        <v>1</v>
      </c>
      <c r="E25" s="108">
        <f>DAY(B25)</f>
        <v>0</v>
      </c>
      <c r="F25" s="108"/>
      <c r="G25" s="40" t="str">
        <f>IF(OR(AND(D25=7,E25&gt;=26),AND(D25=8,E25&lt;=20),AND(D25=1,E25&gt;=26),AND(D25=2,E25&lt;=20)),"特","")</f>
        <v/>
      </c>
      <c r="H25" s="109"/>
    </row>
    <row r="26" spans="1:8" x14ac:dyDescent="0.55000000000000004">
      <c r="A26" s="106"/>
      <c r="B26" s="107">
        <f>DATE(C25,2,20)</f>
        <v>51</v>
      </c>
      <c r="C26" s="108">
        <f>B26-B$25</f>
        <v>51</v>
      </c>
      <c r="D26" s="108"/>
      <c r="E26" s="108"/>
      <c r="F26" s="108"/>
      <c r="G26" s="108"/>
      <c r="H26" s="109"/>
    </row>
    <row r="27" spans="1:8" x14ac:dyDescent="0.55000000000000004">
      <c r="A27" s="106"/>
      <c r="B27" s="107">
        <f>DATE(C25,8,20)</f>
        <v>233</v>
      </c>
      <c r="C27" s="108">
        <f>B27-B$25</f>
        <v>233</v>
      </c>
      <c r="D27" s="108"/>
      <c r="E27" s="108"/>
      <c r="F27" s="108"/>
      <c r="G27" s="108"/>
      <c r="H27" s="109"/>
    </row>
    <row r="28" spans="1:8" x14ac:dyDescent="0.55000000000000004">
      <c r="A28" s="106"/>
      <c r="B28" s="107">
        <f>DATE(C25+1,2,20)</f>
        <v>417</v>
      </c>
      <c r="C28" s="108">
        <f>B28-B$25</f>
        <v>417</v>
      </c>
      <c r="D28" s="108"/>
      <c r="E28" s="108"/>
      <c r="F28" s="108"/>
      <c r="G28" s="108"/>
      <c r="H28" s="109"/>
    </row>
    <row r="29" spans="1:8" x14ac:dyDescent="0.55000000000000004">
      <c r="A29" s="106"/>
      <c r="B29" s="108"/>
      <c r="C29" s="108"/>
      <c r="D29" s="108"/>
      <c r="E29" s="108"/>
      <c r="F29" s="108"/>
      <c r="G29" s="108"/>
      <c r="H29" s="109"/>
    </row>
    <row r="30" spans="1:8" x14ac:dyDescent="0.55000000000000004">
      <c r="A30" s="106"/>
      <c r="B30" s="108" t="s">
        <v>98</v>
      </c>
      <c r="C30" s="108"/>
      <c r="D30" s="108"/>
      <c r="E30" s="108"/>
      <c r="F30" s="108" t="b">
        <f>(計算表!G17=Sheet1!B31)</f>
        <v>0</v>
      </c>
      <c r="G30" s="108"/>
      <c r="H30" s="109"/>
    </row>
    <row r="31" spans="1:8" x14ac:dyDescent="0.55000000000000004">
      <c r="A31" s="106"/>
      <c r="B31" s="107">
        <f>IF(C26&gt;=0,B26,IF(C27&gt;=0,B27,B28))</f>
        <v>51</v>
      </c>
      <c r="C31" s="108"/>
      <c r="D31" s="108"/>
      <c r="E31" s="108"/>
      <c r="F31" s="108"/>
      <c r="G31" s="108"/>
      <c r="H31" s="109"/>
    </row>
    <row r="32" spans="1:8" ht="13.5" thickBot="1" x14ac:dyDescent="0.6">
      <c r="A32" s="106"/>
      <c r="B32" s="107" t="str">
        <f>IF(G25="特",EDATE(B31,6),"")</f>
        <v/>
      </c>
      <c r="C32" s="108"/>
      <c r="D32" s="108"/>
      <c r="E32" s="108"/>
      <c r="F32" s="108"/>
      <c r="G32" s="108"/>
      <c r="H32" s="109"/>
    </row>
    <row r="33" spans="1:8" ht="13.5" thickBot="1" x14ac:dyDescent="0.6">
      <c r="A33" s="110"/>
      <c r="B33" s="117">
        <f>IF(G25="特",B32,B31)</f>
        <v>51</v>
      </c>
      <c r="C33" s="111"/>
      <c r="D33" s="111"/>
      <c r="E33" s="111"/>
      <c r="F33" s="111"/>
      <c r="G33" s="111"/>
      <c r="H33" s="112"/>
    </row>
  </sheetData>
  <sheetProtection selectLockedCells="1" selectUnlockedCells="1"/>
  <phoneticPr fontId="10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E34A-7EE8-40AA-9685-5F9E8B9E8DB3}">
  <sheetPr>
    <tabColor theme="2" tint="-0.499984740745262"/>
  </sheetPr>
  <dimension ref="A1:BF2"/>
  <sheetViews>
    <sheetView workbookViewId="0">
      <selection activeCell="C39" sqref="C39"/>
    </sheetView>
  </sheetViews>
  <sheetFormatPr defaultColWidth="8.58203125" defaultRowHeight="13" x14ac:dyDescent="0.55000000000000004"/>
  <cols>
    <col min="1" max="1" width="8.58203125" style="34"/>
    <col min="2" max="2" width="14.08203125" style="34" bestFit="1" customWidth="1"/>
    <col min="3" max="8" width="8.58203125" style="34"/>
    <col min="9" max="9" width="11.33203125" style="34" bestFit="1" customWidth="1"/>
    <col min="10" max="10" width="11" style="34" bestFit="1" customWidth="1"/>
    <col min="11" max="11" width="13.75" style="34" bestFit="1" customWidth="1"/>
    <col min="12" max="12" width="13.83203125" style="34" bestFit="1" customWidth="1"/>
    <col min="13" max="13" width="11.33203125" style="34" bestFit="1" customWidth="1"/>
    <col min="14" max="14" width="12.75" style="34" bestFit="1" customWidth="1"/>
    <col min="15" max="15" width="13.75" style="34" bestFit="1" customWidth="1"/>
    <col min="16" max="16" width="13.83203125" style="34" bestFit="1" customWidth="1"/>
    <col min="17" max="17" width="11.33203125" style="34" bestFit="1" customWidth="1"/>
    <col min="18" max="18" width="12.75" style="34" bestFit="1" customWidth="1"/>
    <col min="19" max="19" width="13.75" style="34" bestFit="1" customWidth="1"/>
    <col min="20" max="20" width="13.83203125" style="34" bestFit="1" customWidth="1"/>
    <col min="21" max="21" width="11.33203125" style="34" bestFit="1" customWidth="1"/>
    <col min="22" max="22" width="12.75" style="34" bestFit="1" customWidth="1"/>
    <col min="23" max="23" width="13.75" style="34" bestFit="1" customWidth="1"/>
    <col min="24" max="24" width="13.83203125" style="34" bestFit="1" customWidth="1"/>
    <col min="25" max="25" width="11.33203125" style="34" bestFit="1" customWidth="1"/>
    <col min="26" max="26" width="12.75" style="34" bestFit="1" customWidth="1"/>
    <col min="27" max="27" width="13.75" style="34" bestFit="1" customWidth="1"/>
    <col min="28" max="28" width="13.83203125" style="34" bestFit="1" customWidth="1"/>
    <col min="29" max="29" width="11.33203125" style="34" bestFit="1" customWidth="1"/>
    <col min="30" max="30" width="12.75" style="34" bestFit="1" customWidth="1"/>
    <col min="31" max="31" width="13.75" style="34" bestFit="1" customWidth="1"/>
    <col min="32" max="32" width="13.83203125" style="34" bestFit="1" customWidth="1"/>
    <col min="33" max="33" width="11.33203125" style="34" bestFit="1" customWidth="1"/>
    <col min="34" max="34" width="12.75" style="34" bestFit="1" customWidth="1"/>
    <col min="35" max="35" width="13.75" style="34" bestFit="1" customWidth="1"/>
    <col min="36" max="36" width="13.83203125" style="34" bestFit="1" customWidth="1"/>
    <col min="37" max="37" width="11.33203125" style="34" bestFit="1" customWidth="1"/>
    <col min="38" max="38" width="12.75" style="34" bestFit="1" customWidth="1"/>
    <col min="39" max="39" width="13.75" style="34" bestFit="1" customWidth="1"/>
    <col min="40" max="40" width="13.83203125" style="34" bestFit="1" customWidth="1"/>
    <col min="41" max="41" width="11.33203125" style="34" bestFit="1" customWidth="1"/>
    <col min="42" max="42" width="12.75" style="34" bestFit="1" customWidth="1"/>
    <col min="43" max="43" width="13.75" style="34" bestFit="1" customWidth="1"/>
    <col min="44" max="44" width="13.83203125" style="34" bestFit="1" customWidth="1"/>
    <col min="45" max="45" width="11.33203125" style="34" bestFit="1" customWidth="1"/>
    <col min="46" max="46" width="12.75" style="34" bestFit="1" customWidth="1"/>
    <col min="47" max="47" width="14.83203125" style="34" bestFit="1" customWidth="1"/>
    <col min="48" max="48" width="15" style="34" bestFit="1" customWidth="1"/>
    <col min="49" max="49" width="11.33203125" style="34" bestFit="1" customWidth="1"/>
    <col min="50" max="50" width="13.83203125" style="34" bestFit="1" customWidth="1"/>
    <col min="51" max="51" width="14.83203125" style="34" bestFit="1" customWidth="1"/>
    <col min="52" max="52" width="15" style="34" bestFit="1" customWidth="1"/>
    <col min="53" max="53" width="9.75" style="34" bestFit="1" customWidth="1"/>
    <col min="54" max="54" width="13.83203125" style="34" bestFit="1" customWidth="1"/>
    <col min="55" max="16384" width="8.58203125" style="34"/>
  </cols>
  <sheetData>
    <row r="1" spans="1:58" x14ac:dyDescent="0.55000000000000004">
      <c r="A1" s="34" t="s">
        <v>38</v>
      </c>
      <c r="B1" s="34" t="s">
        <v>39</v>
      </c>
      <c r="C1" s="34" t="s">
        <v>40</v>
      </c>
      <c r="D1" s="34" t="s">
        <v>41</v>
      </c>
      <c r="E1" s="34" t="s">
        <v>42</v>
      </c>
      <c r="F1" s="34" t="s">
        <v>43</v>
      </c>
      <c r="G1" s="34" t="s">
        <v>44</v>
      </c>
      <c r="H1" s="34" t="s">
        <v>45</v>
      </c>
      <c r="I1" s="34" t="s">
        <v>46</v>
      </c>
      <c r="J1" s="34" t="s">
        <v>47</v>
      </c>
      <c r="K1" s="34" t="s">
        <v>48</v>
      </c>
      <c r="L1" s="34" t="s">
        <v>49</v>
      </c>
      <c r="M1" s="34" t="s">
        <v>50</v>
      </c>
      <c r="N1" s="34" t="s">
        <v>51</v>
      </c>
      <c r="O1" s="34" t="s">
        <v>52</v>
      </c>
      <c r="P1" s="34" t="s">
        <v>53</v>
      </c>
      <c r="Q1" s="34" t="s">
        <v>54</v>
      </c>
      <c r="R1" s="34" t="s">
        <v>55</v>
      </c>
      <c r="S1" s="34" t="s">
        <v>56</v>
      </c>
      <c r="T1" s="34" t="s">
        <v>57</v>
      </c>
      <c r="U1" s="34" t="s">
        <v>58</v>
      </c>
      <c r="V1" s="34" t="s">
        <v>59</v>
      </c>
      <c r="W1" s="34" t="s">
        <v>60</v>
      </c>
      <c r="X1" s="34" t="s">
        <v>61</v>
      </c>
      <c r="Y1" s="34" t="s">
        <v>62</v>
      </c>
      <c r="Z1" s="34" t="s">
        <v>63</v>
      </c>
      <c r="AA1" s="34" t="s">
        <v>64</v>
      </c>
      <c r="AB1" s="34" t="s">
        <v>65</v>
      </c>
      <c r="AC1" s="34" t="s">
        <v>66</v>
      </c>
      <c r="AD1" s="34" t="s">
        <v>67</v>
      </c>
      <c r="AE1" s="34" t="s">
        <v>68</v>
      </c>
      <c r="AF1" s="34" t="s">
        <v>69</v>
      </c>
      <c r="AG1" s="34" t="s">
        <v>70</v>
      </c>
      <c r="AH1" s="34" t="s">
        <v>71</v>
      </c>
      <c r="AI1" s="34" t="s">
        <v>72</v>
      </c>
      <c r="AJ1" s="34" t="s">
        <v>73</v>
      </c>
      <c r="AK1" s="34" t="s">
        <v>74</v>
      </c>
      <c r="AL1" s="34" t="s">
        <v>75</v>
      </c>
      <c r="AM1" s="34" t="s">
        <v>76</v>
      </c>
      <c r="AN1" s="34" t="s">
        <v>77</v>
      </c>
      <c r="AO1" s="34" t="s">
        <v>78</v>
      </c>
      <c r="AP1" s="34" t="s">
        <v>79</v>
      </c>
      <c r="AQ1" s="34" t="s">
        <v>80</v>
      </c>
      <c r="AR1" s="34" t="s">
        <v>81</v>
      </c>
      <c r="AS1" s="34" t="s">
        <v>82</v>
      </c>
      <c r="AT1" s="34" t="s">
        <v>83</v>
      </c>
      <c r="AU1" s="34" t="s">
        <v>84</v>
      </c>
      <c r="AV1" s="34" t="s">
        <v>85</v>
      </c>
      <c r="AW1" s="34" t="s">
        <v>86</v>
      </c>
      <c r="AX1" s="34" t="s">
        <v>87</v>
      </c>
      <c r="AY1" s="34" t="s">
        <v>88</v>
      </c>
      <c r="AZ1" s="34" t="s">
        <v>89</v>
      </c>
      <c r="BA1" s="34" t="s">
        <v>90</v>
      </c>
      <c r="BB1" s="34" t="s">
        <v>91</v>
      </c>
    </row>
    <row r="2" spans="1:58" x14ac:dyDescent="0.55000000000000004">
      <c r="B2" s="35"/>
      <c r="F2" s="34">
        <f>計算表!W6</f>
        <v>0</v>
      </c>
      <c r="G2" s="34">
        <f>計算表!E6</f>
        <v>0</v>
      </c>
      <c r="H2" s="36">
        <f>計算表!H6</f>
        <v>0</v>
      </c>
      <c r="I2" s="37">
        <f>計算表!J6</f>
        <v>0</v>
      </c>
      <c r="J2" s="38" t="e">
        <f>計算表!U88</f>
        <v>#VALUE!</v>
      </c>
      <c r="K2" s="36" t="e">
        <f>#REF!</f>
        <v>#REF!</v>
      </c>
      <c r="L2" s="36" t="e">
        <f>#REF!</f>
        <v>#REF!</v>
      </c>
      <c r="M2" s="37" t="e">
        <f>#REF!</f>
        <v>#REF!</v>
      </c>
      <c r="N2" s="37" t="e">
        <f>#REF!</f>
        <v>#REF!</v>
      </c>
      <c r="O2" s="36" t="e">
        <f>#REF!</f>
        <v>#REF!</v>
      </c>
      <c r="P2" s="36" t="e">
        <f>#REF!</f>
        <v>#REF!</v>
      </c>
      <c r="Q2" s="37" t="e">
        <f>#REF!</f>
        <v>#REF!</v>
      </c>
      <c r="R2" s="37" t="e">
        <f>#REF!</f>
        <v>#REF!</v>
      </c>
      <c r="S2" s="36" t="e">
        <f>#REF!</f>
        <v>#REF!</v>
      </c>
      <c r="T2" s="36" t="e">
        <f>#REF!</f>
        <v>#REF!</v>
      </c>
      <c r="U2" s="37" t="e">
        <f>#REF!</f>
        <v>#REF!</v>
      </c>
      <c r="V2" s="37" t="e">
        <f>#REF!</f>
        <v>#REF!</v>
      </c>
      <c r="W2" s="36" t="e">
        <f>#REF!</f>
        <v>#REF!</v>
      </c>
      <c r="X2" s="36" t="e">
        <f>#REF!</f>
        <v>#REF!</v>
      </c>
      <c r="Y2" s="37" t="e">
        <f>#REF!</f>
        <v>#REF!</v>
      </c>
      <c r="Z2" s="37" t="e">
        <f>#REF!</f>
        <v>#REF!</v>
      </c>
      <c r="AA2" s="36" t="e">
        <f>#REF!</f>
        <v>#REF!</v>
      </c>
      <c r="AB2" s="36" t="e">
        <f>#REF!</f>
        <v>#REF!</v>
      </c>
      <c r="AC2" s="37" t="e">
        <f>#REF!</f>
        <v>#REF!</v>
      </c>
      <c r="AD2" s="37" t="e">
        <f>#REF!</f>
        <v>#REF!</v>
      </c>
      <c r="AE2" s="36" t="e">
        <f>#REF!</f>
        <v>#REF!</v>
      </c>
      <c r="AF2" s="36" t="e">
        <f>#REF!</f>
        <v>#REF!</v>
      </c>
      <c r="AG2" s="37" t="e">
        <f>#REF!</f>
        <v>#REF!</v>
      </c>
      <c r="AH2" s="37" t="e">
        <f>#REF!</f>
        <v>#REF!</v>
      </c>
      <c r="AI2" s="36" t="e">
        <f>#REF!</f>
        <v>#REF!</v>
      </c>
      <c r="AJ2" s="36" t="e">
        <f>#REF!</f>
        <v>#REF!</v>
      </c>
      <c r="AK2" s="37" t="e">
        <f>#REF!</f>
        <v>#REF!</v>
      </c>
      <c r="AL2" s="37" t="e">
        <f>#REF!</f>
        <v>#REF!</v>
      </c>
      <c r="AM2" s="36" t="e">
        <f>#REF!</f>
        <v>#REF!</v>
      </c>
      <c r="AN2" s="36" t="e">
        <f>#REF!</f>
        <v>#REF!</v>
      </c>
      <c r="AO2" s="37" t="e">
        <f>#REF!</f>
        <v>#REF!</v>
      </c>
      <c r="AP2" s="37" t="e">
        <f>#REF!</f>
        <v>#REF!</v>
      </c>
      <c r="AQ2" s="36" t="e">
        <f>#REF!</f>
        <v>#REF!</v>
      </c>
      <c r="AR2" s="36" t="e">
        <f>#REF!</f>
        <v>#REF!</v>
      </c>
      <c r="AS2" s="37" t="e">
        <f>#REF!</f>
        <v>#REF!</v>
      </c>
      <c r="AT2" s="37" t="e">
        <f>#REF!</f>
        <v>#REF!</v>
      </c>
      <c r="AU2" s="36" t="e">
        <f>#REF!</f>
        <v>#REF!</v>
      </c>
      <c r="AV2" s="36" t="e">
        <f>#REF!</f>
        <v>#REF!</v>
      </c>
      <c r="AW2" s="37" t="e">
        <f>#REF!</f>
        <v>#REF!</v>
      </c>
      <c r="AX2" s="37" t="e">
        <f>#REF!</f>
        <v>#REF!</v>
      </c>
      <c r="AY2" s="36" t="e">
        <f>#REF!</f>
        <v>#REF!</v>
      </c>
      <c r="AZ2" s="37" t="e">
        <f>#REF!</f>
        <v>#REF!</v>
      </c>
      <c r="BA2" s="37" t="e">
        <f>#REF!</f>
        <v>#REF!</v>
      </c>
      <c r="BB2" s="37" t="e">
        <f>#REF!</f>
        <v>#REF!</v>
      </c>
      <c r="BC2" s="36"/>
      <c r="BD2" s="36"/>
      <c r="BE2" s="37"/>
      <c r="BF2" s="37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7F9F-DBA4-4589-B2C5-034EF9DBA5E9}">
  <sheetPr>
    <tabColor theme="2" tint="-0.499984740745262"/>
  </sheetPr>
  <dimension ref="A1:BF2"/>
  <sheetViews>
    <sheetView workbookViewId="0">
      <selection activeCell="C39" sqref="C39"/>
    </sheetView>
  </sheetViews>
  <sheetFormatPr defaultColWidth="8.58203125" defaultRowHeight="13" x14ac:dyDescent="0.55000000000000004"/>
  <cols>
    <col min="1" max="1" width="8.58203125" style="34"/>
    <col min="2" max="2" width="14.08203125" style="34" bestFit="1" customWidth="1"/>
    <col min="3" max="8" width="8.58203125" style="34"/>
    <col min="9" max="9" width="11.33203125" style="34" bestFit="1" customWidth="1"/>
    <col min="10" max="10" width="11" style="34" bestFit="1" customWidth="1"/>
    <col min="11" max="11" width="13.75" style="34" bestFit="1" customWidth="1"/>
    <col min="12" max="12" width="13.83203125" style="34" bestFit="1" customWidth="1"/>
    <col min="13" max="13" width="13.75" style="34" bestFit="1" customWidth="1"/>
    <col min="14" max="14" width="13.83203125" style="34" bestFit="1" customWidth="1"/>
    <col min="15" max="15" width="13.75" style="34" bestFit="1" customWidth="1"/>
    <col min="16" max="16" width="13.83203125" style="34" bestFit="1" customWidth="1"/>
    <col min="17" max="17" width="13.75" style="34" bestFit="1" customWidth="1"/>
    <col min="18" max="18" width="13.83203125" style="34" bestFit="1" customWidth="1"/>
    <col min="19" max="19" width="13.75" style="34" bestFit="1" customWidth="1"/>
    <col min="20" max="20" width="13.83203125" style="34" bestFit="1" customWidth="1"/>
    <col min="21" max="21" width="13.75" style="34" bestFit="1" customWidth="1"/>
    <col min="22" max="22" width="13.83203125" style="34" bestFit="1" customWidth="1"/>
    <col min="23" max="23" width="13.75" style="34" bestFit="1" customWidth="1"/>
    <col min="24" max="24" width="13.83203125" style="34" bestFit="1" customWidth="1"/>
    <col min="25" max="25" width="13.75" style="34" bestFit="1" customWidth="1"/>
    <col min="26" max="26" width="13.83203125" style="34" bestFit="1" customWidth="1"/>
    <col min="27" max="27" width="13.75" style="34" bestFit="1" customWidth="1"/>
    <col min="28" max="28" width="13.83203125" style="34" bestFit="1" customWidth="1"/>
    <col min="29" max="29" width="14.83203125" style="34" bestFit="1" customWidth="1"/>
    <col min="30" max="30" width="15" style="34" bestFit="1" customWidth="1"/>
    <col min="31" max="31" width="14.83203125" style="34" bestFit="1" customWidth="1"/>
    <col min="32" max="32" width="15" style="34" bestFit="1" customWidth="1"/>
    <col min="33" max="40" width="11.33203125" style="34" bestFit="1" customWidth="1"/>
    <col min="41" max="41" width="11.33203125" style="34" customWidth="1"/>
    <col min="42" max="42" width="11.33203125" style="34" bestFit="1" customWidth="1"/>
    <col min="43" max="43" width="9.75" style="34" bestFit="1" customWidth="1"/>
    <col min="44" max="52" width="12.75" style="34" bestFit="1" customWidth="1"/>
    <col min="53" max="54" width="13.83203125" style="34" bestFit="1" customWidth="1"/>
    <col min="55" max="16384" width="8.58203125" style="34"/>
  </cols>
  <sheetData>
    <row r="1" spans="1:58" x14ac:dyDescent="0.55000000000000004">
      <c r="A1" s="34" t="s">
        <v>38</v>
      </c>
      <c r="B1" s="34" t="s">
        <v>39</v>
      </c>
      <c r="C1" s="34" t="s">
        <v>40</v>
      </c>
      <c r="D1" s="34" t="s">
        <v>41</v>
      </c>
      <c r="E1" s="34" t="s">
        <v>42</v>
      </c>
      <c r="F1" s="34" t="s">
        <v>43</v>
      </c>
      <c r="G1" s="34" t="s">
        <v>44</v>
      </c>
      <c r="H1" s="34" t="s">
        <v>45</v>
      </c>
      <c r="I1" s="34" t="s">
        <v>46</v>
      </c>
      <c r="J1" s="34" t="s">
        <v>47</v>
      </c>
      <c r="K1" s="34" t="s">
        <v>48</v>
      </c>
      <c r="L1" s="34" t="s">
        <v>49</v>
      </c>
      <c r="M1" s="34" t="s">
        <v>52</v>
      </c>
      <c r="N1" s="34" t="s">
        <v>53</v>
      </c>
      <c r="O1" s="34" t="s">
        <v>56</v>
      </c>
      <c r="P1" s="34" t="s">
        <v>57</v>
      </c>
      <c r="Q1" s="34" t="s">
        <v>60</v>
      </c>
      <c r="R1" s="34" t="s">
        <v>61</v>
      </c>
      <c r="S1" s="34" t="s">
        <v>64</v>
      </c>
      <c r="T1" s="34" t="s">
        <v>65</v>
      </c>
      <c r="U1" s="34" t="s">
        <v>68</v>
      </c>
      <c r="V1" s="34" t="s">
        <v>69</v>
      </c>
      <c r="W1" s="34" t="s">
        <v>72</v>
      </c>
      <c r="X1" s="34" t="s">
        <v>73</v>
      </c>
      <c r="Y1" s="34" t="s">
        <v>76</v>
      </c>
      <c r="Z1" s="34" t="s">
        <v>77</v>
      </c>
      <c r="AA1" s="34" t="s">
        <v>80</v>
      </c>
      <c r="AB1" s="34" t="s">
        <v>81</v>
      </c>
      <c r="AC1" s="34" t="s">
        <v>84</v>
      </c>
      <c r="AD1" s="34" t="s">
        <v>85</v>
      </c>
      <c r="AE1" s="34" t="s">
        <v>88</v>
      </c>
      <c r="AF1" s="34" t="s">
        <v>89</v>
      </c>
      <c r="AG1" s="34" t="s">
        <v>50</v>
      </c>
      <c r="AH1" s="34" t="s">
        <v>54</v>
      </c>
      <c r="AI1" s="34" t="s">
        <v>58</v>
      </c>
      <c r="AJ1" s="34" t="s">
        <v>62</v>
      </c>
      <c r="AK1" s="34" t="s">
        <v>66</v>
      </c>
      <c r="AL1" s="34" t="s">
        <v>70</v>
      </c>
      <c r="AM1" s="34" t="s">
        <v>74</v>
      </c>
      <c r="AN1" s="34" t="s">
        <v>78</v>
      </c>
      <c r="AO1" s="34" t="s">
        <v>82</v>
      </c>
      <c r="AP1" s="34" t="s">
        <v>86</v>
      </c>
      <c r="AQ1" s="34" t="s">
        <v>90</v>
      </c>
      <c r="AR1" s="34" t="s">
        <v>51</v>
      </c>
      <c r="AS1" s="34" t="s">
        <v>55</v>
      </c>
      <c r="AT1" s="34" t="s">
        <v>59</v>
      </c>
      <c r="AU1" s="34" t="s">
        <v>63</v>
      </c>
      <c r="AV1" s="34" t="s">
        <v>67</v>
      </c>
      <c r="AW1" s="34" t="s">
        <v>71</v>
      </c>
      <c r="AX1" s="34" t="s">
        <v>75</v>
      </c>
      <c r="AY1" s="34" t="s">
        <v>79</v>
      </c>
      <c r="AZ1" s="34" t="s">
        <v>83</v>
      </c>
      <c r="BA1" s="34" t="s">
        <v>87</v>
      </c>
      <c r="BB1" s="34" t="s">
        <v>91</v>
      </c>
    </row>
    <row r="2" spans="1:58" x14ac:dyDescent="0.55000000000000004">
      <c r="B2" s="35"/>
      <c r="F2" s="34">
        <f>計算表!W6</f>
        <v>0</v>
      </c>
      <c r="G2" s="34">
        <f>計算表!E6</f>
        <v>0</v>
      </c>
      <c r="H2" s="36">
        <f>計算表!H6</f>
        <v>0</v>
      </c>
      <c r="I2" s="37">
        <f>計算表!J6</f>
        <v>0</v>
      </c>
      <c r="J2" s="38" t="e">
        <f>計算表!U88</f>
        <v>#VALUE!</v>
      </c>
      <c r="K2" s="36" t="e">
        <f>#REF!</f>
        <v>#REF!</v>
      </c>
      <c r="L2" s="36" t="e">
        <f>#REF!</f>
        <v>#REF!</v>
      </c>
      <c r="M2" s="36" t="e">
        <f>#REF!</f>
        <v>#REF!</v>
      </c>
      <c r="N2" s="36" t="e">
        <f>#REF!</f>
        <v>#REF!</v>
      </c>
      <c r="O2" s="36" t="e">
        <f>#REF!</f>
        <v>#REF!</v>
      </c>
      <c r="P2" s="36" t="e">
        <f>#REF!</f>
        <v>#REF!</v>
      </c>
      <c r="Q2" s="36" t="e">
        <f>#REF!</f>
        <v>#REF!</v>
      </c>
      <c r="R2" s="36" t="e">
        <f>#REF!</f>
        <v>#REF!</v>
      </c>
      <c r="S2" s="36" t="e">
        <f>#REF!</f>
        <v>#REF!</v>
      </c>
      <c r="T2" s="36" t="e">
        <f>#REF!</f>
        <v>#REF!</v>
      </c>
      <c r="U2" s="36" t="e">
        <f>#REF!</f>
        <v>#REF!</v>
      </c>
      <c r="V2" s="36" t="e">
        <f>#REF!</f>
        <v>#REF!</v>
      </c>
      <c r="W2" s="36" t="e">
        <f>#REF!</f>
        <v>#REF!</v>
      </c>
      <c r="X2" s="36" t="e">
        <f>#REF!</f>
        <v>#REF!</v>
      </c>
      <c r="Y2" s="36" t="e">
        <f>#REF!</f>
        <v>#REF!</v>
      </c>
      <c r="Z2" s="36" t="e">
        <f>#REF!</f>
        <v>#REF!</v>
      </c>
      <c r="AA2" s="36" t="e">
        <f>#REF!</f>
        <v>#REF!</v>
      </c>
      <c r="AB2" s="36" t="e">
        <f>#REF!</f>
        <v>#REF!</v>
      </c>
      <c r="AC2" s="36" t="e">
        <f>#REF!</f>
        <v>#REF!</v>
      </c>
      <c r="AD2" s="36" t="e">
        <f>#REF!</f>
        <v>#REF!</v>
      </c>
      <c r="AE2" s="36" t="e">
        <f>#REF!</f>
        <v>#REF!</v>
      </c>
      <c r="AF2" s="37" t="e">
        <f>#REF!</f>
        <v>#REF!</v>
      </c>
      <c r="AG2" s="37" t="e">
        <f>#REF!</f>
        <v>#REF!</v>
      </c>
      <c r="AH2" s="37" t="e">
        <f>#REF!</f>
        <v>#REF!</v>
      </c>
      <c r="AI2" s="37" t="e">
        <f>#REF!</f>
        <v>#REF!</v>
      </c>
      <c r="AJ2" s="37" t="e">
        <f>#REF!</f>
        <v>#REF!</v>
      </c>
      <c r="AK2" s="37" t="e">
        <f>#REF!</f>
        <v>#REF!</v>
      </c>
      <c r="AL2" s="37" t="e">
        <f>#REF!</f>
        <v>#REF!</v>
      </c>
      <c r="AM2" s="37" t="e">
        <f>#REF!</f>
        <v>#REF!</v>
      </c>
      <c r="AN2" s="37" t="e">
        <f>#REF!</f>
        <v>#REF!</v>
      </c>
      <c r="AO2" s="37" t="e">
        <f>#REF!</f>
        <v>#REF!</v>
      </c>
      <c r="AP2" s="37" t="e">
        <f>#REF!</f>
        <v>#REF!</v>
      </c>
      <c r="AQ2" s="37" t="e">
        <f>#REF!</f>
        <v>#REF!</v>
      </c>
      <c r="AR2" s="37" t="e">
        <f>#REF!</f>
        <v>#REF!</v>
      </c>
      <c r="AS2" s="37" t="e">
        <f>#REF!</f>
        <v>#REF!</v>
      </c>
      <c r="AT2" s="37" t="e">
        <f>#REF!</f>
        <v>#REF!</v>
      </c>
      <c r="AU2" s="37" t="e">
        <f>#REF!</f>
        <v>#REF!</v>
      </c>
      <c r="AV2" s="37" t="e">
        <f>#REF!</f>
        <v>#REF!</v>
      </c>
      <c r="AW2" s="37" t="e">
        <f>#REF!</f>
        <v>#REF!</v>
      </c>
      <c r="AX2" s="37" t="e">
        <f>#REF!</f>
        <v>#REF!</v>
      </c>
      <c r="AY2" s="37" t="e">
        <f>#REF!</f>
        <v>#REF!</v>
      </c>
      <c r="AZ2" s="37" t="e">
        <f>#REF!</f>
        <v>#REF!</v>
      </c>
      <c r="BA2" s="37" t="e">
        <f>#REF!</f>
        <v>#REF!</v>
      </c>
      <c r="BB2" s="37" t="e">
        <f>#REF!</f>
        <v>#REF!</v>
      </c>
      <c r="BC2" s="36"/>
      <c r="BD2" s="36"/>
      <c r="BE2" s="37"/>
      <c r="BF2" s="3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計算表</vt:lpstr>
      <vt:lpstr>Sheet1</vt:lpstr>
      <vt:lpstr>内閣府作業用</vt:lpstr>
      <vt:lpstr>内閣府作業用 (地域再生総括表用)</vt:lpstr>
      <vt:lpstr>Sheet1!Print_Area</vt:lpstr>
      <vt:lpstr>計算表!Print_Area</vt:lpstr>
      <vt:lpstr>計算表!Print_Titles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利臣(KOBAYASHI Toshiomi)</dc:creator>
  <cp:keywords/>
  <dc:description/>
  <cp:lastModifiedBy>小林 利臣(KOBAYASHI Toshiomi)</cp:lastModifiedBy>
  <cp:revision/>
  <cp:lastPrinted>2025-02-10T02:55:46Z</cp:lastPrinted>
  <dcterms:created xsi:type="dcterms:W3CDTF">2024-12-13T06:11:12Z</dcterms:created>
  <dcterms:modified xsi:type="dcterms:W3CDTF">2025-03-06T09:51:21Z</dcterms:modified>
  <cp:category/>
  <cp:contentStatus/>
</cp:coreProperties>
</file>